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fvwb.sharepoint.com/sites/conseil-administration/Documents partages/2025.12.09 - CA/Documents/"/>
    </mc:Choice>
  </mc:AlternateContent>
  <xr:revisionPtr revIDLastSave="11" documentId="8_{60D64048-0565-48A1-8976-9383501A984B}" xr6:coauthVersionLast="47" xr6:coauthVersionMax="47" xr10:uidLastSave="{7CEFF638-8C58-4338-B8C9-8AA8A2486A30}"/>
  <bookViews>
    <workbookView xWindow="-120" yWindow="-120" windowWidth="21840" windowHeight="13140" firstSheet="2" activeTab="2" xr2:uid="{D4EAAFD5-17A0-5C46-A209-F3EA12E10261}"/>
  </bookViews>
  <sheets>
    <sheet name="Feuil1" sheetId="4" state="hidden" r:id="rId1"/>
    <sheet name="Feuil2" sheetId="7" state="hidden" r:id="rId2"/>
    <sheet name="RESUME" sheetId="15" r:id="rId3"/>
    <sheet name="Claase 6" sheetId="5" r:id="rId4"/>
    <sheet name="Feuil3" sheetId="20" state="hidden" r:id="rId5"/>
    <sheet name="Claase 7" sheetId="6" r:id="rId6"/>
    <sheet name="Subsides" sheetId="19" state="hidden" r:id="rId7"/>
    <sheet name="Cotisations" sheetId="16" state="hidden" r:id="rId8"/>
    <sheet name="Feuil5" sheetId="8" state="hidden" r:id="rId9"/>
    <sheet name="612850" sheetId="9" state="hidden" r:id="rId10"/>
    <sheet name="615200" sheetId="11" state="hidden" r:id="rId11"/>
    <sheet name="CA " sheetId="17" state="hidden" r:id="rId12"/>
    <sheet name="615800" sheetId="12" state="hidden" r:id="rId13"/>
    <sheet name="616210" sheetId="13" state="hidden" r:id="rId14"/>
    <sheet name="CLASSE 6" sheetId="1" state="hidden" r:id="rId15"/>
    <sheet name="CLASSE 7" sheetId="2" state="hidden" r:id="rId16"/>
    <sheet name="Feuil2024" sheetId="3" state="hidden" r:id="rId17"/>
  </sheets>
  <externalReferences>
    <externalReference r:id="rId18"/>
  </externalReferences>
  <definedNames>
    <definedName name="_xlnm.Print_Area" localSheetId="3">'Claase 6'!$A$1:$E$195</definedName>
    <definedName name="_xlnm.Print_Area" localSheetId="5">'Claase 7'!$A$1:$P$118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0" i="5" l="1"/>
  <c r="L35" i="15" s="1"/>
  <c r="E209" i="5" l="1"/>
  <c r="L33" i="15"/>
  <c r="L31" i="15"/>
  <c r="L7" i="15"/>
  <c r="E74" i="5"/>
  <c r="E203" i="5" s="1"/>
  <c r="D1" i="20"/>
  <c r="E72" i="5"/>
  <c r="E65" i="5" s="1"/>
  <c r="L19" i="15" s="1"/>
  <c r="E63" i="5"/>
  <c r="E59" i="5"/>
  <c r="E201" i="5" s="1"/>
  <c r="E123" i="5"/>
  <c r="E110" i="5"/>
  <c r="F111" i="5" s="1"/>
  <c r="E87" i="5"/>
  <c r="E80" i="5"/>
  <c r="E90" i="5"/>
  <c r="E208" i="5"/>
  <c r="E207" i="5"/>
  <c r="E119" i="5"/>
  <c r="E84" i="5"/>
  <c r="E54" i="5"/>
  <c r="E200" i="5" s="1"/>
  <c r="E50" i="5"/>
  <c r="E42" i="5" s="1"/>
  <c r="E199" i="5" s="1"/>
  <c r="E39" i="5"/>
  <c r="E35" i="5"/>
  <c r="E27" i="5"/>
  <c r="E197" i="5" s="1"/>
  <c r="E196" i="5"/>
  <c r="E23" i="5"/>
  <c r="E9" i="5"/>
  <c r="E195" i="5" s="1"/>
  <c r="E6" i="5"/>
  <c r="E3" i="5" s="1"/>
  <c r="E194" i="5" s="1"/>
  <c r="L9" i="15" l="1"/>
  <c r="L13" i="15"/>
  <c r="L15" i="15"/>
  <c r="L17" i="15"/>
  <c r="L21" i="15"/>
  <c r="L3" i="15"/>
  <c r="L5" i="15"/>
  <c r="E113" i="5"/>
  <c r="E99" i="5"/>
  <c r="E78" i="5"/>
  <c r="E32" i="5"/>
  <c r="E198" i="5" l="1"/>
  <c r="L11" i="15"/>
  <c r="E204" i="5"/>
  <c r="L24" i="15"/>
  <c r="E205" i="5"/>
  <c r="L26" i="15"/>
  <c r="E206" i="5"/>
  <c r="L28" i="15"/>
  <c r="O62" i="6" l="1"/>
  <c r="O58" i="6"/>
  <c r="C27" i="19"/>
  <c r="J53" i="6"/>
  <c r="Q17" i="15" s="1"/>
  <c r="O60" i="6" l="1"/>
  <c r="O59" i="6"/>
  <c r="O57" i="6"/>
  <c r="O56" i="6"/>
  <c r="O55" i="6"/>
  <c r="O64" i="6" l="1"/>
  <c r="L37" i="15" l="1"/>
  <c r="I66" i="13"/>
  <c r="M8" i="16" l="1"/>
  <c r="M7" i="16"/>
  <c r="M6" i="16"/>
  <c r="M5" i="16"/>
  <c r="M4" i="16"/>
  <c r="M3" i="16"/>
  <c r="M2" i="16"/>
  <c r="M11" i="16" s="1"/>
  <c r="O2" i="16"/>
  <c r="L11" i="16"/>
  <c r="K11" i="16"/>
  <c r="G11" i="16"/>
  <c r="H11" i="16"/>
  <c r="I8" i="16"/>
  <c r="I7" i="16"/>
  <c r="I6" i="16"/>
  <c r="I5" i="16"/>
  <c r="I4" i="16"/>
  <c r="I3" i="16"/>
  <c r="I2" i="16"/>
  <c r="D11" i="16"/>
  <c r="E3" i="16"/>
  <c r="E4" i="16"/>
  <c r="E5" i="16"/>
  <c r="E6" i="16"/>
  <c r="E7" i="16"/>
  <c r="E8" i="16"/>
  <c r="E2" i="16"/>
  <c r="C6" i="16"/>
  <c r="C11" i="16" s="1"/>
  <c r="I11" i="16" l="1"/>
  <c r="E11" i="16"/>
  <c r="J13" i="15" l="1"/>
  <c r="D33" i="15"/>
  <c r="D31" i="15"/>
  <c r="D26" i="15"/>
  <c r="D24" i="15"/>
  <c r="D15" i="15"/>
  <c r="D9" i="15"/>
  <c r="D3" i="15"/>
  <c r="O81" i="6"/>
  <c r="L81" i="6"/>
  <c r="L46" i="6"/>
  <c r="S15" i="15" s="1"/>
  <c r="L40" i="6"/>
  <c r="S13" i="15" s="1"/>
  <c r="L7" i="6"/>
  <c r="S5" i="15" s="1"/>
  <c r="F53" i="6"/>
  <c r="L64" i="6"/>
  <c r="O98" i="6"/>
  <c r="O92" i="6"/>
  <c r="U21" i="15" s="1"/>
  <c r="O82" i="6"/>
  <c r="U19" i="15" s="1"/>
  <c r="O46" i="6"/>
  <c r="U15" i="15" s="1"/>
  <c r="O40" i="6"/>
  <c r="U13" i="15" s="1"/>
  <c r="O30" i="6"/>
  <c r="U11" i="15" s="1"/>
  <c r="O24" i="6"/>
  <c r="U9" i="15" s="1"/>
  <c r="O19" i="6"/>
  <c r="U7" i="15" s="1"/>
  <c r="O7" i="6"/>
  <c r="U5" i="15" s="1"/>
  <c r="O2" i="6"/>
  <c r="U3" i="15" s="1"/>
  <c r="J21" i="15"/>
  <c r="O53" i="6" l="1"/>
  <c r="U17" i="15" s="1"/>
  <c r="U24" i="15" s="1"/>
  <c r="U37" i="15" s="1"/>
  <c r="D21" i="15"/>
  <c r="D13" i="15"/>
  <c r="D28" i="15"/>
  <c r="D19" i="15"/>
  <c r="E15" i="15"/>
  <c r="F15" i="15" s="1"/>
  <c r="E13" i="15"/>
  <c r="E28" i="15"/>
  <c r="D11" i="15"/>
  <c r="E11" i="15"/>
  <c r="E33" i="15"/>
  <c r="D17" i="15"/>
  <c r="E26" i="15"/>
  <c r="E9" i="15"/>
  <c r="F9" i="15" s="1"/>
  <c r="E31" i="15"/>
  <c r="F31" i="15" s="1"/>
  <c r="E24" i="15"/>
  <c r="F24" i="15" s="1"/>
  <c r="E3" i="15"/>
  <c r="F3" i="15" s="1"/>
  <c r="D5" i="15"/>
  <c r="D7" i="15"/>
  <c r="O50" i="6"/>
  <c r="I144" i="13"/>
  <c r="I87" i="13"/>
  <c r="I75" i="13"/>
  <c r="B6" i="11"/>
  <c r="B4" i="11"/>
  <c r="B3" i="11"/>
  <c r="B9" i="11"/>
  <c r="B7" i="11"/>
  <c r="B8" i="11"/>
  <c r="C68" i="9"/>
  <c r="C57" i="9"/>
  <c r="C48" i="9"/>
  <c r="C62" i="9"/>
  <c r="C47" i="9"/>
  <c r="C83" i="9"/>
  <c r="C40" i="9"/>
  <c r="C25" i="9"/>
  <c r="C24" i="9"/>
  <c r="C32" i="9"/>
  <c r="C26" i="9"/>
  <c r="C20" i="9"/>
  <c r="C18" i="9"/>
  <c r="C14" i="9"/>
  <c r="C28" i="9"/>
  <c r="C17" i="9"/>
  <c r="C15" i="9"/>
  <c r="C33" i="9"/>
  <c r="C12" i="9"/>
  <c r="C11" i="9"/>
  <c r="C10" i="9"/>
  <c r="C31" i="9"/>
  <c r="C9" i="9"/>
  <c r="C19" i="9"/>
  <c r="C8" i="9"/>
  <c r="C7" i="9"/>
  <c r="C27" i="9"/>
  <c r="C6" i="9"/>
  <c r="C4" i="9"/>
  <c r="C23" i="9"/>
  <c r="C3" i="9"/>
  <c r="C21" i="9"/>
  <c r="C2" i="9"/>
  <c r="C5" i="9"/>
  <c r="C38" i="8"/>
  <c r="C51" i="8"/>
  <c r="C24" i="8"/>
  <c r="C35" i="8"/>
  <c r="C25" i="8"/>
  <c r="C23" i="8"/>
  <c r="C33" i="8"/>
  <c r="C32" i="8"/>
  <c r="C28" i="8"/>
  <c r="C30" i="8"/>
  <c r="C29" i="8"/>
  <c r="C26" i="8"/>
  <c r="C27" i="8"/>
  <c r="C22" i="8"/>
  <c r="C31" i="8"/>
  <c r="C19" i="8"/>
  <c r="C18" i="8"/>
  <c r="C15" i="8"/>
  <c r="C16" i="8"/>
  <c r="Q53" i="6"/>
  <c r="Q79" i="6"/>
  <c r="J33" i="15"/>
  <c r="O116" i="6" l="1"/>
  <c r="J7" i="15"/>
  <c r="J9" i="15"/>
  <c r="J31" i="15"/>
  <c r="J28" i="15"/>
  <c r="J15" i="15"/>
  <c r="J11" i="15"/>
  <c r="J35" i="15"/>
  <c r="O79" i="6"/>
  <c r="O117" i="6" s="1"/>
  <c r="F11" i="15"/>
  <c r="F13" i="15"/>
  <c r="E17" i="15"/>
  <c r="F17" i="15" s="1"/>
  <c r="F28" i="15"/>
  <c r="E7" i="15"/>
  <c r="F7" i="15" s="1"/>
  <c r="E21" i="15"/>
  <c r="F21" i="15" s="1"/>
  <c r="E19" i="15"/>
  <c r="F19" i="15" s="1"/>
  <c r="E5" i="15"/>
  <c r="F5" i="15" s="1"/>
  <c r="B23" i="11"/>
  <c r="D1" i="9"/>
  <c r="C107" i="9"/>
  <c r="J3" i="15" l="1"/>
  <c r="G114" i="6"/>
  <c r="G113" i="6"/>
  <c r="G112" i="6"/>
  <c r="G99" i="6"/>
  <c r="S98" i="6"/>
  <c r="J98" i="6"/>
  <c r="Q26" i="15" s="1"/>
  <c r="Q98" i="6"/>
  <c r="L98" i="6"/>
  <c r="S26" i="15" s="1"/>
  <c r="F98" i="6"/>
  <c r="G96" i="6"/>
  <c r="G95" i="6"/>
  <c r="G94" i="6"/>
  <c r="G93" i="6"/>
  <c r="S92" i="6"/>
  <c r="J92" i="6"/>
  <c r="Q21" i="15" s="1"/>
  <c r="Q92" i="6"/>
  <c r="L92" i="6"/>
  <c r="S21" i="15" s="1"/>
  <c r="F92" i="6"/>
  <c r="S91" i="6"/>
  <c r="J91" i="6"/>
  <c r="Q91" i="6"/>
  <c r="G89" i="6"/>
  <c r="G88" i="6"/>
  <c r="G87" i="6"/>
  <c r="G86" i="6"/>
  <c r="G85" i="6"/>
  <c r="G84" i="6"/>
  <c r="G83" i="6"/>
  <c r="L82" i="6"/>
  <c r="S19" i="15" s="1"/>
  <c r="S81" i="6"/>
  <c r="J81" i="6"/>
  <c r="Q81" i="6"/>
  <c r="G78" i="6"/>
  <c r="G76" i="6"/>
  <c r="G75" i="6"/>
  <c r="G74" i="6"/>
  <c r="G73" i="6"/>
  <c r="G71" i="6"/>
  <c r="G70" i="6"/>
  <c r="G69" i="6"/>
  <c r="G68" i="6"/>
  <c r="G67" i="6"/>
  <c r="G66" i="6"/>
  <c r="G65" i="6"/>
  <c r="G54" i="6"/>
  <c r="S52" i="6"/>
  <c r="J52" i="6"/>
  <c r="Q52" i="6"/>
  <c r="G48" i="6"/>
  <c r="G47" i="6"/>
  <c r="S46" i="6"/>
  <c r="J46" i="6"/>
  <c r="Q15" i="15" s="1"/>
  <c r="Q46" i="6"/>
  <c r="F46" i="6"/>
  <c r="S45" i="6"/>
  <c r="J45" i="6"/>
  <c r="Q45" i="6"/>
  <c r="D45" i="6"/>
  <c r="G43" i="6"/>
  <c r="G41" i="6"/>
  <c r="S40" i="6"/>
  <c r="J40" i="6"/>
  <c r="Q13" i="15" s="1"/>
  <c r="Q40" i="6"/>
  <c r="F40" i="6"/>
  <c r="G38" i="6"/>
  <c r="G37" i="6"/>
  <c r="G36" i="6"/>
  <c r="G35" i="6"/>
  <c r="G34" i="6"/>
  <c r="G33" i="6"/>
  <c r="G32" i="6"/>
  <c r="G31" i="6"/>
  <c r="S30" i="6"/>
  <c r="J30" i="6"/>
  <c r="Q11" i="15" s="1"/>
  <c r="Q30" i="6"/>
  <c r="L30" i="6"/>
  <c r="F30" i="6"/>
  <c r="S29" i="6"/>
  <c r="J29" i="6"/>
  <c r="Q29" i="6"/>
  <c r="G27" i="6"/>
  <c r="G26" i="6"/>
  <c r="G25" i="6"/>
  <c r="S24" i="6"/>
  <c r="J24" i="6"/>
  <c r="Q9" i="15" s="1"/>
  <c r="Q24" i="6"/>
  <c r="L24" i="6"/>
  <c r="S9" i="15" s="1"/>
  <c r="F24" i="6"/>
  <c r="S23" i="6"/>
  <c r="J23" i="6"/>
  <c r="Q23" i="6"/>
  <c r="G21" i="6"/>
  <c r="G20" i="6"/>
  <c r="S19" i="6"/>
  <c r="J19" i="6"/>
  <c r="Q7" i="15" s="1"/>
  <c r="Q19" i="6"/>
  <c r="L19" i="6"/>
  <c r="S7" i="15" s="1"/>
  <c r="F19" i="6"/>
  <c r="S18" i="6"/>
  <c r="J18" i="6"/>
  <c r="Q18" i="6"/>
  <c r="G16" i="6"/>
  <c r="G15" i="6"/>
  <c r="G14" i="6"/>
  <c r="G13" i="6"/>
  <c r="G9" i="6"/>
  <c r="G8" i="6"/>
  <c r="S7" i="6"/>
  <c r="J7" i="6"/>
  <c r="Q5" i="15" s="1"/>
  <c r="Q7" i="6"/>
  <c r="F7" i="6"/>
  <c r="S6" i="6"/>
  <c r="J6" i="6"/>
  <c r="Q6" i="6"/>
  <c r="G4" i="6"/>
  <c r="G3" i="6"/>
  <c r="S2" i="6"/>
  <c r="J2" i="6"/>
  <c r="Q3" i="15" s="1"/>
  <c r="Q2" i="6"/>
  <c r="L2" i="6"/>
  <c r="S3" i="15" s="1"/>
  <c r="F2" i="6"/>
  <c r="G1" i="6"/>
  <c r="G91" i="6" s="1"/>
  <c r="F1" i="6"/>
  <c r="F52" i="6" s="1"/>
  <c r="K332" i="1"/>
  <c r="K253" i="1"/>
  <c r="K195" i="1"/>
  <c r="K132" i="1"/>
  <c r="K119" i="1"/>
  <c r="J26" i="15" l="1"/>
  <c r="J19" i="15"/>
  <c r="J17" i="15"/>
  <c r="J24" i="15"/>
  <c r="J5" i="15"/>
  <c r="S11" i="15"/>
  <c r="G40" i="6"/>
  <c r="H40" i="6" s="1"/>
  <c r="G92" i="6"/>
  <c r="H92" i="6" s="1"/>
  <c r="G19" i="6"/>
  <c r="H19" i="6" s="1"/>
  <c r="G98" i="6"/>
  <c r="H98" i="6" s="1"/>
  <c r="G64" i="6"/>
  <c r="G53" i="6" s="1"/>
  <c r="H53" i="6" s="1"/>
  <c r="G2" i="6"/>
  <c r="H2" i="6" s="1"/>
  <c r="G24" i="6"/>
  <c r="H24" i="6" s="1"/>
  <c r="Q82" i="6"/>
  <c r="G7" i="6"/>
  <c r="H7" i="6" s="1"/>
  <c r="Q50" i="6"/>
  <c r="S82" i="6"/>
  <c r="S53" i="6" s="1"/>
  <c r="F29" i="6"/>
  <c r="G6" i="6"/>
  <c r="G30" i="6"/>
  <c r="H30" i="6" s="1"/>
  <c r="L53" i="6"/>
  <c r="S17" i="15" s="1"/>
  <c r="G29" i="6"/>
  <c r="L79" i="6"/>
  <c r="G46" i="6"/>
  <c r="H46" i="6" s="1"/>
  <c r="J82" i="6"/>
  <c r="F18" i="6"/>
  <c r="L50" i="6"/>
  <c r="G52" i="6"/>
  <c r="G18" i="6"/>
  <c r="F23" i="6"/>
  <c r="F45" i="6"/>
  <c r="G23" i="6"/>
  <c r="G45" i="6"/>
  <c r="F91" i="6"/>
  <c r="F6" i="6"/>
  <c r="J116" i="6" l="1"/>
  <c r="Q19" i="15"/>
  <c r="Q24" i="15" s="1"/>
  <c r="Q37" i="15" s="1"/>
  <c r="S37" i="15"/>
  <c r="J37" i="15"/>
  <c r="L116" i="6"/>
  <c r="Q117" i="6"/>
  <c r="L117" i="6"/>
  <c r="S39" i="15" l="1"/>
  <c r="M379" i="1"/>
  <c r="M378" i="1"/>
  <c r="M377" i="1"/>
  <c r="M376" i="1"/>
  <c r="M375" i="1"/>
  <c r="J379" i="1"/>
  <c r="I379" i="1"/>
  <c r="I378" i="1"/>
  <c r="I377" i="1"/>
  <c r="I376" i="1"/>
  <c r="H152" i="2"/>
  <c r="H120" i="2"/>
  <c r="M110" i="2"/>
  <c r="K110" i="2"/>
  <c r="H110" i="2"/>
  <c r="I110" i="2"/>
  <c r="H127" i="2"/>
  <c r="F115" i="2"/>
  <c r="M109" i="2"/>
  <c r="M62" i="2" s="1"/>
  <c r="K109" i="2"/>
  <c r="K62" i="2" s="1"/>
  <c r="I109" i="2"/>
  <c r="I62" i="2" s="1"/>
  <c r="F94" i="2"/>
  <c r="F93" i="2"/>
  <c r="F90" i="2"/>
  <c r="F89" i="2"/>
  <c r="H51" i="2"/>
  <c r="H46" i="2"/>
  <c r="H35" i="2"/>
  <c r="H29" i="2"/>
  <c r="H24" i="2"/>
  <c r="H12" i="2"/>
  <c r="H7" i="2"/>
  <c r="I347" i="1"/>
  <c r="I332" i="1"/>
  <c r="I119" i="1"/>
  <c r="I195" i="1"/>
  <c r="I102" i="1"/>
  <c r="I88" i="1"/>
  <c r="I75" i="1"/>
  <c r="I38" i="1"/>
  <c r="I35" i="1"/>
  <c r="I12" i="1" s="1"/>
  <c r="F250" i="1"/>
  <c r="J131" i="1"/>
  <c r="J194" i="1" s="1"/>
  <c r="J294" i="1"/>
  <c r="J281" i="1"/>
  <c r="J253" i="1" s="1"/>
  <c r="J247" i="1"/>
  <c r="J244" i="1"/>
  <c r="J227" i="1"/>
  <c r="J207" i="1"/>
  <c r="J202" i="1"/>
  <c r="J190" i="1"/>
  <c r="J170" i="1"/>
  <c r="J162" i="1"/>
  <c r="F131" i="1"/>
  <c r="F252" i="1" s="1"/>
  <c r="E131" i="1"/>
  <c r="E252" i="1" s="1"/>
  <c r="I253" i="1"/>
  <c r="E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E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1" i="1"/>
  <c r="F260" i="1"/>
  <c r="F259" i="1"/>
  <c r="F258" i="1"/>
  <c r="F257" i="1"/>
  <c r="F256" i="1"/>
  <c r="F255" i="1"/>
  <c r="F254" i="1"/>
  <c r="I252" i="1"/>
  <c r="F248" i="1"/>
  <c r="I247" i="1"/>
  <c r="F246" i="1"/>
  <c r="F245" i="1"/>
  <c r="E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I227" i="1"/>
  <c r="E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0" i="1"/>
  <c r="F209" i="1"/>
  <c r="F208" i="1"/>
  <c r="E207" i="1"/>
  <c r="F206" i="1"/>
  <c r="F205" i="1"/>
  <c r="F204" i="1"/>
  <c r="F203" i="1"/>
  <c r="F202" i="1"/>
  <c r="E202" i="1"/>
  <c r="F201" i="1"/>
  <c r="F200" i="1"/>
  <c r="F199" i="1"/>
  <c r="F198" i="1"/>
  <c r="F197" i="1"/>
  <c r="F196" i="1"/>
  <c r="F192" i="1"/>
  <c r="F191" i="1"/>
  <c r="I190" i="1"/>
  <c r="E190" i="1"/>
  <c r="F189" i="1"/>
  <c r="F188" i="1"/>
  <c r="F187" i="1"/>
  <c r="F186" i="1"/>
  <c r="F185" i="1"/>
  <c r="F183" i="1"/>
  <c r="F182" i="1"/>
  <c r="F181" i="1"/>
  <c r="F180" i="1"/>
  <c r="F178" i="1"/>
  <c r="F177" i="1"/>
  <c r="F176" i="1"/>
  <c r="F175" i="1"/>
  <c r="F174" i="1"/>
  <c r="F173" i="1"/>
  <c r="F172" i="1"/>
  <c r="F171" i="1"/>
  <c r="I170" i="1"/>
  <c r="E170" i="1"/>
  <c r="F169" i="1"/>
  <c r="F168" i="1"/>
  <c r="F167" i="1"/>
  <c r="F166" i="1"/>
  <c r="F165" i="1"/>
  <c r="F164" i="1"/>
  <c r="F163" i="1"/>
  <c r="I162" i="1"/>
  <c r="I132" i="1" s="1"/>
  <c r="E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I194" i="1"/>
  <c r="I311" i="1"/>
  <c r="I300" i="1"/>
  <c r="J119" i="1"/>
  <c r="K124" i="1"/>
  <c r="K122" i="1"/>
  <c r="K121" i="1"/>
  <c r="K116" i="1"/>
  <c r="K111" i="1"/>
  <c r="K112" i="1"/>
  <c r="K113" i="1"/>
  <c r="K114" i="1"/>
  <c r="K110" i="1"/>
  <c r="K103" i="1"/>
  <c r="K94" i="1"/>
  <c r="K93" i="1"/>
  <c r="K85" i="1"/>
  <c r="K84" i="1"/>
  <c r="K78" i="1"/>
  <c r="J75" i="1"/>
  <c r="K67" i="1"/>
  <c r="K66" i="1"/>
  <c r="K46" i="1"/>
  <c r="K42" i="1"/>
  <c r="K41" i="1"/>
  <c r="K40" i="1"/>
  <c r="K39" i="1"/>
  <c r="K30" i="1"/>
  <c r="K27" i="1"/>
  <c r="K19" i="1"/>
  <c r="K18" i="1"/>
  <c r="K15" i="1"/>
  <c r="K34" i="3"/>
  <c r="I34" i="3"/>
  <c r="G34" i="3"/>
  <c r="D34" i="3"/>
  <c r="C34" i="3"/>
  <c r="K33" i="3"/>
  <c r="I33" i="3"/>
  <c r="G33" i="3"/>
  <c r="D33" i="3"/>
  <c r="C33" i="3"/>
  <c r="K32" i="3"/>
  <c r="I32" i="3"/>
  <c r="G32" i="3"/>
  <c r="D32" i="3"/>
  <c r="C32" i="3"/>
  <c r="K31" i="3"/>
  <c r="I31" i="3"/>
  <c r="G31" i="3"/>
  <c r="D31" i="3"/>
  <c r="C31" i="3"/>
  <c r="K30" i="3"/>
  <c r="I30" i="3"/>
  <c r="G30" i="3"/>
  <c r="D30" i="3"/>
  <c r="C30" i="3"/>
  <c r="K29" i="3"/>
  <c r="I29" i="3"/>
  <c r="G29" i="3"/>
  <c r="D29" i="3"/>
  <c r="C29" i="3"/>
  <c r="K28" i="3"/>
  <c r="I28" i="3"/>
  <c r="G28" i="3"/>
  <c r="D28" i="3"/>
  <c r="C28" i="3"/>
  <c r="K27" i="3"/>
  <c r="I27" i="3"/>
  <c r="G27" i="3"/>
  <c r="D27" i="3"/>
  <c r="C27" i="3"/>
  <c r="K26" i="3"/>
  <c r="I26" i="3"/>
  <c r="G26" i="3"/>
  <c r="D26" i="3"/>
  <c r="C26" i="3"/>
  <c r="K25" i="3"/>
  <c r="I25" i="3"/>
  <c r="G25" i="3"/>
  <c r="D25" i="3"/>
  <c r="C25" i="3"/>
  <c r="K20" i="3"/>
  <c r="I20" i="3"/>
  <c r="G20" i="3"/>
  <c r="D20" i="3"/>
  <c r="C20" i="3"/>
  <c r="K19" i="3"/>
  <c r="I19" i="3"/>
  <c r="G19" i="3"/>
  <c r="D19" i="3"/>
  <c r="C19" i="3"/>
  <c r="K18" i="3"/>
  <c r="I18" i="3"/>
  <c r="G18" i="3"/>
  <c r="D18" i="3"/>
  <c r="C18" i="3"/>
  <c r="K17" i="3"/>
  <c r="I17" i="3"/>
  <c r="G17" i="3"/>
  <c r="D17" i="3"/>
  <c r="C17" i="3"/>
  <c r="K16" i="3"/>
  <c r="I16" i="3"/>
  <c r="G16" i="3"/>
  <c r="D16" i="3"/>
  <c r="C16" i="3"/>
  <c r="K15" i="3"/>
  <c r="I15" i="3"/>
  <c r="G15" i="3"/>
  <c r="D15" i="3"/>
  <c r="C15" i="3"/>
  <c r="K14" i="3"/>
  <c r="I14" i="3"/>
  <c r="G14" i="3"/>
  <c r="D14" i="3"/>
  <c r="C14" i="3"/>
  <c r="K13" i="3"/>
  <c r="I13" i="3"/>
  <c r="G13" i="3"/>
  <c r="D13" i="3"/>
  <c r="C13" i="3"/>
  <c r="K12" i="3"/>
  <c r="I12" i="3"/>
  <c r="G12" i="3"/>
  <c r="D12" i="3"/>
  <c r="C12" i="3"/>
  <c r="K11" i="3"/>
  <c r="I11" i="3"/>
  <c r="G11" i="3"/>
  <c r="D11" i="3"/>
  <c r="C11" i="3"/>
  <c r="K10" i="3"/>
  <c r="I10" i="3"/>
  <c r="G10" i="3"/>
  <c r="D10" i="3"/>
  <c r="C10" i="3"/>
  <c r="K9" i="3"/>
  <c r="I9" i="3"/>
  <c r="G9" i="3"/>
  <c r="D9" i="3"/>
  <c r="C9" i="3"/>
  <c r="K8" i="3"/>
  <c r="I8" i="3"/>
  <c r="G8" i="3"/>
  <c r="D8" i="3"/>
  <c r="C8" i="3"/>
  <c r="K7" i="3"/>
  <c r="I7" i="3"/>
  <c r="G7" i="3"/>
  <c r="D7" i="3"/>
  <c r="C7" i="3"/>
  <c r="K6" i="3"/>
  <c r="I6" i="3"/>
  <c r="G6" i="3"/>
  <c r="D6" i="3"/>
  <c r="C6" i="3"/>
  <c r="K5" i="3"/>
  <c r="I5" i="3"/>
  <c r="G5" i="3"/>
  <c r="D5" i="3"/>
  <c r="C5" i="3"/>
  <c r="K4" i="3"/>
  <c r="K24" i="3" s="1"/>
  <c r="I4" i="3"/>
  <c r="I24" i="3" s="1"/>
  <c r="G4" i="3"/>
  <c r="G24" i="3" s="1"/>
  <c r="D4" i="3"/>
  <c r="D24" i="3" s="1"/>
  <c r="C4" i="3"/>
  <c r="C24" i="3" s="1"/>
  <c r="B2" i="3"/>
  <c r="I61" i="2"/>
  <c r="K61" i="2"/>
  <c r="M61" i="2"/>
  <c r="F143" i="2"/>
  <c r="F142" i="2"/>
  <c r="F141" i="2"/>
  <c r="F128" i="2"/>
  <c r="M127" i="2"/>
  <c r="K127" i="2"/>
  <c r="I127" i="2"/>
  <c r="E127" i="2"/>
  <c r="M126" i="2"/>
  <c r="K126" i="2"/>
  <c r="I126" i="2"/>
  <c r="F124" i="2"/>
  <c r="F123" i="2"/>
  <c r="F122" i="2"/>
  <c r="F121" i="2"/>
  <c r="M120" i="2"/>
  <c r="K120" i="2"/>
  <c r="I120" i="2"/>
  <c r="E120" i="2"/>
  <c r="M119" i="2"/>
  <c r="K119" i="2"/>
  <c r="I119" i="2"/>
  <c r="F117" i="2"/>
  <c r="F116" i="2"/>
  <c r="F114" i="2"/>
  <c r="F113" i="2"/>
  <c r="F112" i="2"/>
  <c r="F111" i="2"/>
  <c r="F105" i="2"/>
  <c r="F103" i="2"/>
  <c r="F102" i="2"/>
  <c r="F101" i="2"/>
  <c r="F100" i="2"/>
  <c r="F99" i="2"/>
  <c r="F98" i="2"/>
  <c r="F97" i="2"/>
  <c r="F96" i="2"/>
  <c r="F92" i="2"/>
  <c r="F91" i="2"/>
  <c r="F88" i="2"/>
  <c r="F87" i="2"/>
  <c r="F86" i="2"/>
  <c r="F85" i="2"/>
  <c r="F84" i="2"/>
  <c r="F83" i="2"/>
  <c r="F82" i="2"/>
  <c r="F81" i="2"/>
  <c r="F80" i="2"/>
  <c r="F79" i="2"/>
  <c r="F78" i="2"/>
  <c r="F77" i="2"/>
  <c r="H76" i="2"/>
  <c r="F76" i="2" s="1"/>
  <c r="F66" i="2"/>
  <c r="F65" i="2"/>
  <c r="E62" i="2"/>
  <c r="F57" i="2"/>
  <c r="F56" i="2"/>
  <c r="F55" i="2"/>
  <c r="F54" i="2"/>
  <c r="F53" i="2"/>
  <c r="F52" i="2"/>
  <c r="M51" i="2"/>
  <c r="K51" i="2"/>
  <c r="I51" i="2"/>
  <c r="E51" i="2"/>
  <c r="M50" i="2"/>
  <c r="K50" i="2"/>
  <c r="I50" i="2"/>
  <c r="D50" i="2"/>
  <c r="F48" i="2"/>
  <c r="F47" i="2"/>
  <c r="M46" i="2"/>
  <c r="K46" i="2"/>
  <c r="I46" i="2"/>
  <c r="E46" i="2"/>
  <c r="M45" i="2"/>
  <c r="K45" i="2"/>
  <c r="I45" i="2"/>
  <c r="F43" i="2"/>
  <c r="F42" i="2"/>
  <c r="F41" i="2"/>
  <c r="F40" i="2"/>
  <c r="F39" i="2"/>
  <c r="F38" i="2"/>
  <c r="F37" i="2"/>
  <c r="F36" i="2"/>
  <c r="M35" i="2"/>
  <c r="K35" i="2"/>
  <c r="I35" i="2"/>
  <c r="E35" i="2"/>
  <c r="M34" i="2"/>
  <c r="K34" i="2"/>
  <c r="I34" i="2"/>
  <c r="F32" i="2"/>
  <c r="F31" i="2"/>
  <c r="F30" i="2"/>
  <c r="M29" i="2"/>
  <c r="K29" i="2"/>
  <c r="I29" i="2"/>
  <c r="E29" i="2"/>
  <c r="M28" i="2"/>
  <c r="K28" i="2"/>
  <c r="I28" i="2"/>
  <c r="F26" i="2"/>
  <c r="F25" i="2"/>
  <c r="M24" i="2"/>
  <c r="K24" i="2"/>
  <c r="I24" i="2"/>
  <c r="E24" i="2"/>
  <c r="M23" i="2"/>
  <c r="K23" i="2"/>
  <c r="I23" i="2"/>
  <c r="F21" i="2"/>
  <c r="F20" i="2"/>
  <c r="F19" i="2"/>
  <c r="F18" i="2"/>
  <c r="F14" i="2"/>
  <c r="F13" i="2"/>
  <c r="M12" i="2"/>
  <c r="K12" i="2"/>
  <c r="I12" i="2"/>
  <c r="E12" i="2"/>
  <c r="M11" i="2"/>
  <c r="K11" i="2"/>
  <c r="I11" i="2"/>
  <c r="F9" i="2"/>
  <c r="F8" i="2"/>
  <c r="M7" i="2"/>
  <c r="K7" i="2"/>
  <c r="I7" i="2"/>
  <c r="E7" i="2"/>
  <c r="F6" i="2"/>
  <c r="F126" i="2" s="1"/>
  <c r="E6" i="2"/>
  <c r="E50" i="2" s="1"/>
  <c r="D4" i="2"/>
  <c r="F4" i="2"/>
  <c r="E354" i="1"/>
  <c r="E347" i="1" s="1"/>
  <c r="O364" i="1"/>
  <c r="M364" i="1"/>
  <c r="F364" i="1"/>
  <c r="O363" i="1"/>
  <c r="M363" i="1"/>
  <c r="F363" i="1"/>
  <c r="J362" i="1"/>
  <c r="E362" i="1"/>
  <c r="O361" i="1"/>
  <c r="M361" i="1"/>
  <c r="J361" i="1"/>
  <c r="F361" i="1"/>
  <c r="E361" i="1"/>
  <c r="O359" i="1"/>
  <c r="M359" i="1"/>
  <c r="F359" i="1"/>
  <c r="O358" i="1"/>
  <c r="M358" i="1"/>
  <c r="F358" i="1"/>
  <c r="O357" i="1"/>
  <c r="M357" i="1"/>
  <c r="F357" i="1"/>
  <c r="F356" i="1"/>
  <c r="F355" i="1"/>
  <c r="O354" i="1"/>
  <c r="M354" i="1"/>
  <c r="J354" i="1"/>
  <c r="J347" i="1" s="1"/>
  <c r="F353" i="1"/>
  <c r="F352" i="1"/>
  <c r="F351" i="1"/>
  <c r="F350" i="1"/>
  <c r="F349" i="1"/>
  <c r="F348" i="1"/>
  <c r="O346" i="1"/>
  <c r="M346" i="1"/>
  <c r="J346" i="1"/>
  <c r="F346" i="1"/>
  <c r="E346" i="1"/>
  <c r="F344" i="1"/>
  <c r="F343" i="1"/>
  <c r="F342" i="1"/>
  <c r="O341" i="1"/>
  <c r="M341" i="1"/>
  <c r="J341" i="1"/>
  <c r="F341" i="1"/>
  <c r="E341" i="1"/>
  <c r="F340" i="1"/>
  <c r="F339" i="1"/>
  <c r="O338" i="1"/>
  <c r="M338" i="1"/>
  <c r="F338" i="1"/>
  <c r="O337" i="1"/>
  <c r="M337" i="1"/>
  <c r="F337" i="1"/>
  <c r="F336" i="1"/>
  <c r="O335" i="1"/>
  <c r="M335" i="1"/>
  <c r="J335" i="1"/>
  <c r="F335" i="1"/>
  <c r="E335" i="1"/>
  <c r="F334" i="1"/>
  <c r="F333" i="1"/>
  <c r="O331" i="1"/>
  <c r="M331" i="1"/>
  <c r="J331" i="1"/>
  <c r="F331" i="1"/>
  <c r="E331" i="1"/>
  <c r="O329" i="1"/>
  <c r="M329" i="1"/>
  <c r="F329" i="1"/>
  <c r="F323" i="1"/>
  <c r="F318" i="1"/>
  <c r="F317" i="1"/>
  <c r="O316" i="1"/>
  <c r="M316" i="1"/>
  <c r="F316" i="1"/>
  <c r="F315" i="1"/>
  <c r="F314" i="1"/>
  <c r="F313" i="1"/>
  <c r="F312" i="1"/>
  <c r="J311" i="1"/>
  <c r="E311" i="1"/>
  <c r="O310" i="1"/>
  <c r="M310" i="1"/>
  <c r="J310" i="1"/>
  <c r="F310" i="1"/>
  <c r="E310" i="1"/>
  <c r="F307" i="1"/>
  <c r="F306" i="1"/>
  <c r="F305" i="1"/>
  <c r="F304" i="1"/>
  <c r="F303" i="1"/>
  <c r="F302" i="1"/>
  <c r="F301" i="1"/>
  <c r="O300" i="1"/>
  <c r="M300" i="1"/>
  <c r="J300" i="1"/>
  <c r="E300" i="1"/>
  <c r="O299" i="1"/>
  <c r="M299" i="1"/>
  <c r="J299" i="1"/>
  <c r="F299" i="1"/>
  <c r="E299" i="1"/>
  <c r="F129" i="1"/>
  <c r="F128" i="1"/>
  <c r="F127" i="1"/>
  <c r="F126" i="1"/>
  <c r="F125" i="1"/>
  <c r="F124" i="1"/>
  <c r="F123" i="1"/>
  <c r="F122" i="1"/>
  <c r="F121" i="1"/>
  <c r="F120" i="1"/>
  <c r="O119" i="1"/>
  <c r="M119" i="1"/>
  <c r="E119" i="1"/>
  <c r="O118" i="1"/>
  <c r="M118" i="1"/>
  <c r="J118" i="1"/>
  <c r="F118" i="1"/>
  <c r="E118" i="1"/>
  <c r="F116" i="1"/>
  <c r="O115" i="1"/>
  <c r="M115" i="1"/>
  <c r="J115" i="1"/>
  <c r="K115" i="1" s="1"/>
  <c r="F115" i="1"/>
  <c r="E115" i="1"/>
  <c r="F114" i="1"/>
  <c r="F113" i="1"/>
  <c r="F112" i="1"/>
  <c r="F111" i="1"/>
  <c r="F110" i="1"/>
  <c r="O109" i="1"/>
  <c r="M109" i="1"/>
  <c r="J109" i="1"/>
  <c r="E109" i="1"/>
  <c r="F108" i="1"/>
  <c r="F107" i="1"/>
  <c r="F106" i="1"/>
  <c r="F105" i="1"/>
  <c r="F104" i="1"/>
  <c r="F103" i="1"/>
  <c r="O101" i="1"/>
  <c r="M101" i="1"/>
  <c r="J101" i="1"/>
  <c r="F101" i="1"/>
  <c r="E101" i="1"/>
  <c r="O99" i="1"/>
  <c r="M99" i="1"/>
  <c r="J99" i="1"/>
  <c r="K99" i="1" s="1"/>
  <c r="E99" i="1"/>
  <c r="F98" i="1"/>
  <c r="F97" i="1"/>
  <c r="F96" i="1"/>
  <c r="F95" i="1"/>
  <c r="F94" i="1"/>
  <c r="F93" i="1"/>
  <c r="O92" i="1"/>
  <c r="O88" i="1" s="1"/>
  <c r="M92" i="1"/>
  <c r="J92" i="1"/>
  <c r="F92" i="1"/>
  <c r="E92" i="1"/>
  <c r="F91" i="1"/>
  <c r="F90" i="1"/>
  <c r="F89" i="1"/>
  <c r="O87" i="1"/>
  <c r="M87" i="1"/>
  <c r="J87" i="1"/>
  <c r="F87" i="1"/>
  <c r="E87" i="1"/>
  <c r="F85" i="1"/>
  <c r="F84" i="1"/>
  <c r="F83" i="1"/>
  <c r="F82" i="1"/>
  <c r="F81" i="1"/>
  <c r="F80" i="1"/>
  <c r="F78" i="1"/>
  <c r="F77" i="1"/>
  <c r="F76" i="1"/>
  <c r="O75" i="1"/>
  <c r="M75" i="1"/>
  <c r="E75" i="1"/>
  <c r="O74" i="1"/>
  <c r="M74" i="1"/>
  <c r="J74" i="1"/>
  <c r="F74" i="1"/>
  <c r="E74" i="1"/>
  <c r="F67" i="1"/>
  <c r="F66" i="1"/>
  <c r="O65" i="1"/>
  <c r="M65" i="1"/>
  <c r="J65" i="1"/>
  <c r="K65" i="1" s="1"/>
  <c r="E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O45" i="1"/>
  <c r="M45" i="1"/>
  <c r="J45" i="1"/>
  <c r="K45" i="1" s="1"/>
  <c r="E45" i="1"/>
  <c r="F44" i="1"/>
  <c r="F43" i="1"/>
  <c r="F42" i="1"/>
  <c r="F41" i="1"/>
  <c r="F40" i="1"/>
  <c r="F39" i="1"/>
  <c r="O37" i="1"/>
  <c r="M37" i="1"/>
  <c r="J37" i="1"/>
  <c r="F37" i="1"/>
  <c r="E37" i="1"/>
  <c r="O35" i="1"/>
  <c r="M35" i="1"/>
  <c r="J35" i="1"/>
  <c r="E35" i="1"/>
  <c r="F34" i="1"/>
  <c r="F33" i="1"/>
  <c r="F32" i="1"/>
  <c r="F31" i="1"/>
  <c r="F30" i="1"/>
  <c r="F29" i="1"/>
  <c r="F28" i="1"/>
  <c r="F27" i="1"/>
  <c r="O26" i="1"/>
  <c r="M26" i="1"/>
  <c r="J26" i="1"/>
  <c r="E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O11" i="1"/>
  <c r="M11" i="1"/>
  <c r="J11" i="1"/>
  <c r="F11" i="1"/>
  <c r="E11" i="1"/>
  <c r="O9" i="1"/>
  <c r="O5" i="1" s="1"/>
  <c r="M9" i="1"/>
  <c r="M5" i="1" s="1"/>
  <c r="J9" i="1"/>
  <c r="J5" i="1" s="1"/>
  <c r="E9" i="1"/>
  <c r="E5" i="1" s="1"/>
  <c r="F8" i="1"/>
  <c r="F7" i="1"/>
  <c r="F6" i="1"/>
  <c r="I296" i="1" l="1"/>
  <c r="I375" i="1" s="1"/>
  <c r="J380" i="1" s="1"/>
  <c r="M88" i="1"/>
  <c r="J132" i="1"/>
  <c r="H62" i="2"/>
  <c r="H107" i="2"/>
  <c r="H59" i="2"/>
  <c r="F247" i="1"/>
  <c r="J88" i="1"/>
  <c r="K88" i="1" s="1"/>
  <c r="E253" i="1"/>
  <c r="F294" i="1"/>
  <c r="M102" i="1"/>
  <c r="E132" i="1"/>
  <c r="F244" i="1"/>
  <c r="E195" i="1"/>
  <c r="F211" i="1"/>
  <c r="F162" i="1"/>
  <c r="F190" i="1"/>
  <c r="F207" i="1"/>
  <c r="F281" i="1"/>
  <c r="F170" i="1"/>
  <c r="F227" i="1"/>
  <c r="F262" i="1"/>
  <c r="J195" i="1"/>
  <c r="J252" i="1"/>
  <c r="E194" i="1"/>
  <c r="F194" i="1"/>
  <c r="J102" i="1"/>
  <c r="K102" i="1" s="1"/>
  <c r="M362" i="1"/>
  <c r="O102" i="1"/>
  <c r="K9" i="1"/>
  <c r="K75" i="1"/>
  <c r="K109" i="1"/>
  <c r="J12" i="1"/>
  <c r="K12" i="1" s="1"/>
  <c r="E88" i="1"/>
  <c r="K92" i="1"/>
  <c r="K26" i="1"/>
  <c r="F362" i="1"/>
  <c r="E27" i="3"/>
  <c r="E332" i="1"/>
  <c r="E29" i="3"/>
  <c r="K36" i="3"/>
  <c r="M347" i="1"/>
  <c r="E26" i="3"/>
  <c r="M38" i="1"/>
  <c r="M311" i="1"/>
  <c r="O38" i="1"/>
  <c r="F354" i="1"/>
  <c r="F347" i="1" s="1"/>
  <c r="G347" i="1" s="1"/>
  <c r="O362" i="1"/>
  <c r="F9" i="1"/>
  <c r="F5" i="1" s="1"/>
  <c r="G5" i="1" s="1"/>
  <c r="E6" i="3"/>
  <c r="E8" i="3"/>
  <c r="E10" i="3"/>
  <c r="E12" i="3"/>
  <c r="E14" i="3"/>
  <c r="E20" i="3"/>
  <c r="E18" i="3"/>
  <c r="D22" i="3"/>
  <c r="G22" i="3"/>
  <c r="E32" i="3"/>
  <c r="E7" i="3"/>
  <c r="E17" i="3"/>
  <c r="E30" i="3"/>
  <c r="I36" i="3"/>
  <c r="E11" i="3"/>
  <c r="C22" i="3"/>
  <c r="E15" i="3"/>
  <c r="I22" i="3"/>
  <c r="K22" i="3"/>
  <c r="C36" i="3"/>
  <c r="E9" i="3"/>
  <c r="D36" i="3"/>
  <c r="E28" i="3"/>
  <c r="E34" i="3"/>
  <c r="E25" i="3"/>
  <c r="E13" i="3"/>
  <c r="G36" i="3"/>
  <c r="E31" i="3"/>
  <c r="E5" i="3"/>
  <c r="F120" i="2"/>
  <c r="G120" i="2" s="1"/>
  <c r="F61" i="2"/>
  <c r="E61" i="2"/>
  <c r="F35" i="2"/>
  <c r="G35" i="2" s="1"/>
  <c r="F46" i="2"/>
  <c r="G46" i="2" s="1"/>
  <c r="F24" i="2"/>
  <c r="G24" i="2" s="1"/>
  <c r="F12" i="2"/>
  <c r="G12" i="2" s="1"/>
  <c r="F127" i="2"/>
  <c r="G127" i="2" s="1"/>
  <c r="F34" i="2"/>
  <c r="F11" i="2"/>
  <c r="F45" i="2"/>
  <c r="F51" i="2"/>
  <c r="G51" i="2" s="1"/>
  <c r="F50" i="2"/>
  <c r="F7" i="2"/>
  <c r="G7" i="2" s="1"/>
  <c r="F29" i="2"/>
  <c r="G29" i="2" s="1"/>
  <c r="F23" i="2"/>
  <c r="F62" i="2"/>
  <c r="G62" i="2" s="1"/>
  <c r="F119" i="2"/>
  <c r="F28" i="2"/>
  <c r="E45" i="2"/>
  <c r="E119" i="2"/>
  <c r="E28" i="2"/>
  <c r="E11" i="2"/>
  <c r="E126" i="2"/>
  <c r="E34" i="2"/>
  <c r="E23" i="2"/>
  <c r="F45" i="1"/>
  <c r="F79" i="1"/>
  <c r="F75" i="1" s="1"/>
  <c r="G75" i="1" s="1"/>
  <c r="E38" i="1"/>
  <c r="E102" i="1"/>
  <c r="O311" i="1"/>
  <c r="J332" i="1"/>
  <c r="E12" i="1"/>
  <c r="J38" i="1"/>
  <c r="K38" i="1" s="1"/>
  <c r="F65" i="1"/>
  <c r="F311" i="1"/>
  <c r="O347" i="1"/>
  <c r="M12" i="1"/>
  <c r="F99" i="1"/>
  <c r="F88" i="1" s="1"/>
  <c r="F308" i="1"/>
  <c r="F300" i="1" s="1"/>
  <c r="G300" i="1" s="1"/>
  <c r="F332" i="1"/>
  <c r="G332" i="1" s="1"/>
  <c r="F35" i="1"/>
  <c r="O12" i="1"/>
  <c r="M332" i="1"/>
  <c r="F119" i="1"/>
  <c r="G119" i="1" s="1"/>
  <c r="O332" i="1"/>
  <c r="F26" i="1"/>
  <c r="F109" i="1"/>
  <c r="F102" i="1" s="1"/>
  <c r="F253" i="1" l="1"/>
  <c r="G253" i="1" s="1"/>
  <c r="F132" i="1"/>
  <c r="G132" i="1" s="1"/>
  <c r="F195" i="1"/>
  <c r="G195" i="1" s="1"/>
  <c r="G88" i="1"/>
  <c r="F38" i="1"/>
  <c r="G38" i="1" s="1"/>
  <c r="G102" i="1"/>
  <c r="F12" i="1"/>
  <c r="G12" i="1" s="1"/>
  <c r="E202" i="5" l="1"/>
  <c r="E211" i="5" s="1"/>
</calcChain>
</file>

<file path=xl/sharedStrings.xml><?xml version="1.0" encoding="utf-8"?>
<sst xmlns="http://schemas.openxmlformats.org/spreadsheetml/2006/main" count="1917" uniqueCount="741">
  <si>
    <t>RECETTES AU 30/09</t>
  </si>
  <si>
    <t>EFFECTUE  depuis lors</t>
  </si>
  <si>
    <t>Facturation caisse de compensation 24-25 est terminée</t>
  </si>
  <si>
    <t>Facturation 1ère tranche pour la caisse d’arbitrage 25-26</t>
  </si>
  <si>
    <r>
      <rPr>
        <b/>
        <u/>
        <sz val="16"/>
        <color theme="1"/>
        <rFont val="Calibri (Corps)"/>
      </rPr>
      <t xml:space="preserve">A FAIRE </t>
    </r>
    <r>
      <rPr>
        <b/>
        <sz val="16"/>
        <color theme="1"/>
        <rFont val="Calibri"/>
        <family val="2"/>
        <scheme val="minor"/>
      </rPr>
      <t>- Facturation des cotisations des membres (minimum 250 K)</t>
    </r>
  </si>
  <si>
    <r>
      <rPr>
        <b/>
        <u/>
        <sz val="16"/>
        <color theme="1"/>
        <rFont val="Calibri (Corps)"/>
      </rPr>
      <t>EN ATTENTE</t>
    </r>
    <r>
      <rPr>
        <b/>
        <sz val="16"/>
        <color theme="1"/>
        <rFont val="Calibri"/>
        <family val="2"/>
        <scheme val="minor"/>
      </rPr>
      <t xml:space="preserve"> - Versement de plusieurs subsides ADEPS</t>
    </r>
  </si>
  <si>
    <t xml:space="preserve">    Rien d'anormal certains ne seront payés que fin décembre</t>
  </si>
  <si>
    <t xml:space="preserve">     et seront en ligne avec les montants budgetés</t>
  </si>
  <si>
    <t>DEPENSES AU 30/09</t>
  </si>
  <si>
    <t>Dépenses de gestion courante "sous contrôle"</t>
  </si>
  <si>
    <t xml:space="preserve"> ===&gt; Identifier d'éventuelles autres options dans le budget 25-26</t>
  </si>
  <si>
    <t>Imputation des dépenses SHN à vérifier</t>
  </si>
  <si>
    <t>Possibles erreurs dans Winbooks</t>
  </si>
  <si>
    <t>Rémunérations &amp; Charges sociales</t>
  </si>
  <si>
    <t>Probablement en-dessous du montant du budget de base</t>
  </si>
  <si>
    <t>VALEURS DISPONIBLES</t>
  </si>
  <si>
    <t>383.511,70</t>
  </si>
  <si>
    <t>BELFIUS compte à vue</t>
  </si>
  <si>
    <t>37.891.77</t>
  </si>
  <si>
    <t>BNP PARIBAS FORTIS compte à vue</t>
  </si>
  <si>
    <t>67.952.23</t>
  </si>
  <si>
    <t>BNP PARIBAS FORTIS compte épargne</t>
  </si>
  <si>
    <t>276.219.73</t>
  </si>
  <si>
    <t>Caisse &amp; Transferts Internes de fonds</t>
  </si>
  <si>
    <t>1.447,97</t>
  </si>
  <si>
    <t>RAPPEL DE MON MAIL du 16 JUILLET (resté sans réponse)</t>
  </si>
  <si>
    <t>L'AG du 11 janvier a approuvé par 32 pour et 2 abstentions le budget 2025 présenté avec les hypothèses suivantes:</t>
  </si>
  <si>
    <t>RAPPORT de l'AG de DECEMBRE</t>
  </si>
  <si>
    <t>"La confection du budget 2025 est liée à la problématique budgétaire de notre Pouvoir Subsidiant ; en fonction des dossiers rentrés</t>
  </si>
  <si>
    <r>
      <t xml:space="preserve">et du budget global affecté à l’ensemble des fédérations, une médiation aura lieu ==&gt; </t>
    </r>
    <r>
      <rPr>
        <b/>
        <i/>
        <u/>
        <sz val="16"/>
        <color theme="1"/>
        <rFont val="Calibri (Corps)"/>
      </rPr>
      <t>décision courant 02/2025.</t>
    </r>
  </si>
  <si>
    <t>Dans le cadre du principe de précaution, 3 scénarios sont proposés :</t>
  </si>
  <si>
    <t>N°1 : « Budget 2025 base »</t>
  </si>
  <si>
    <t>Subside Adeps Sports de haut niveau -&gt;150.000 € ( budget actuel 2024)</t>
  </si>
  <si>
    <t>N° 2 : « Budget 2025 Adeps A »</t>
  </si>
  <si>
    <t>Subside Adeps Sport de Haut niveau -&gt; 250.000 €</t>
  </si>
  <si>
    <t>N° 3 : « Budget 2025 Adeps B »</t>
  </si>
  <si>
    <t>Subside Adeps Sport de Haut niveau -&gt; 200.000 €</t>
  </si>
  <si>
    <t>En fonction des différents scénarios, le montant supporté sur fonds propres sera différent.</t>
  </si>
  <si>
    <t>Les ajustements se feront en cours d’année au fur et à mesure des subsides obtenus"</t>
  </si>
  <si>
    <t>Je ne retrouve aucune décision dans le PV de l'OA du 12/02.</t>
  </si>
  <si>
    <t>Dans le PV du 11/03, il a ceci :</t>
  </si>
  <si>
    <t>"6.4      Situation financière </t>
  </si>
  <si>
    <t xml:space="preserve">Le trésorier propose de présenter en avril une actualisation du budget 2025 si plus d’informations </t>
  </si>
  <si>
    <t>quant aux subventions ADEPS nous sont parvenues."</t>
  </si>
  <si>
    <t>Sauf erreur de ma part, je ne retrouve aucune décision quant à l'option budgétaire définitive. </t>
  </si>
  <si>
    <t>QUESTION ?</t>
  </si>
  <si>
    <t xml:space="preserve">Afin de pouvoir présenter les comptes de façon correcte à l'OA et à l'AG, </t>
  </si>
  <si>
    <t>QUELLE EST L'OPTION BUDGETAIRE FINALE RETENUE ?</t>
  </si>
  <si>
    <t>BUDGET 2024</t>
  </si>
  <si>
    <t>Au 27/11/2024</t>
  </si>
  <si>
    <t>CUMUL</t>
  </si>
  <si>
    <t>YTD 2025</t>
  </si>
  <si>
    <t>BUDGET 2026</t>
  </si>
  <si>
    <t>BUD 2025</t>
  </si>
  <si>
    <t>DEPENSES ADMINISTRATIVES</t>
  </si>
  <si>
    <t>ACHAT DE FOURNITURES</t>
  </si>
  <si>
    <t>VENTES DE BIENS DE L'ASSOCIATION</t>
  </si>
  <si>
    <t>CHARGES LOCATIVES</t>
  </si>
  <si>
    <t>INSCRIPTIONS</t>
  </si>
  <si>
    <t>FOURNITURES FAITES A L'ASSOCIATION</t>
  </si>
  <si>
    <t>AMENDES</t>
  </si>
  <si>
    <t>FRAIS PROMOTIONNELS</t>
  </si>
  <si>
    <t>ASSURANCES</t>
  </si>
  <si>
    <t>REDEVANCES ET RETRIBUTIONS</t>
  </si>
  <si>
    <t>RECETTES</t>
  </si>
  <si>
    <t>ASSUR. NON RELATIVE AU PERSONNEL</t>
  </si>
  <si>
    <t>SPONSORING</t>
  </si>
  <si>
    <t>AUTRES FOURNITURES ET SERVICES</t>
  </si>
  <si>
    <t>AUTRES RECETTES</t>
  </si>
  <si>
    <t>FRAIS DE COMMISSION</t>
  </si>
  <si>
    <t>COTISATIONS, DONS, LEGS ET SUBSIDES</t>
  </si>
  <si>
    <t>AUTRES DEPENSES ADMINISTRATIVES</t>
  </si>
  <si>
    <t>AUTRES PRODUITS D'EXPLOITATION</t>
  </si>
  <si>
    <t>REMUNERATIONS - CHARGES SOCIALES</t>
  </si>
  <si>
    <t>PRODUITS FINANCIERS</t>
  </si>
  <si>
    <t>DEPENSES DT</t>
  </si>
  <si>
    <t>DEPENSES HAUT NIVEAU</t>
  </si>
  <si>
    <t>T O T A L   R E C E T T E S    A V A N T                    P   R   O   V   I   S   O   N</t>
  </si>
  <si>
    <t>DEPENSES FORMATION DES CADRES</t>
  </si>
  <si>
    <t>P   R  O   V   I   S   I   O   N</t>
  </si>
  <si>
    <t>DEPENSES SERVICE AUX CLUBS</t>
  </si>
  <si>
    <t>AUTRES</t>
  </si>
  <si>
    <t>AMORTISSEMENT</t>
  </si>
  <si>
    <t>PROVISIONS POUR RISQUES ET CHARGES</t>
  </si>
  <si>
    <t>CHARGES FINANCIERES</t>
  </si>
  <si>
    <t>T O T A L   D E P E N S E S</t>
  </si>
  <si>
    <t>T O T A L   R E C E T T E S</t>
  </si>
  <si>
    <t xml:space="preserve"> BUDGET DETAIL DEPENSES   </t>
  </si>
  <si>
    <t>ACHAT DE FOURNITURES (Feuille 5)</t>
  </si>
  <si>
    <t>Achat de fournitures - imprimés</t>
  </si>
  <si>
    <t>Achat de fournitures - matériel divers</t>
  </si>
  <si>
    <t>Achats de fournitures</t>
  </si>
  <si>
    <t>CHARGES LOCATIVES Feuille 5)</t>
  </si>
  <si>
    <t>Locations Réunion Seneffe &amp; Autres</t>
  </si>
  <si>
    <t xml:space="preserve">Leasing VW </t>
  </si>
  <si>
    <t>Entretien et réparations immeuble - BEEZ</t>
  </si>
  <si>
    <t>Entretien et réparations  matériel roulant Peugeot</t>
  </si>
  <si>
    <t>Carburant- Carte Essence</t>
  </si>
  <si>
    <t>Matériel et service informatique -</t>
  </si>
  <si>
    <t>Matériel et service informatique - licence moodle</t>
  </si>
  <si>
    <t>Matériel et service informatique - redevance volleyspike</t>
  </si>
  <si>
    <t>Matériel et service informatique -EXEKO = 90,51 / mois + one shot 525,03</t>
  </si>
  <si>
    <t>Matériel et service informatique -EXEKO - prestations</t>
  </si>
  <si>
    <t>Matériel et service informatique - Clubee</t>
  </si>
  <si>
    <t>Matériel et service informatique</t>
  </si>
  <si>
    <t>Frais de poste &amp; Photocopie &amp; Imprimante</t>
  </si>
  <si>
    <t>Frais de téléphone (Feuille 5)</t>
  </si>
  <si>
    <t>Internet</t>
  </si>
  <si>
    <t>Autres frais promotionnels (Pins &amp; Fanion)</t>
  </si>
  <si>
    <t>Honoraires - Proxy Compta</t>
  </si>
  <si>
    <t>Honoraires - Consultance</t>
  </si>
  <si>
    <t>Honoraires &amp; Cotisations</t>
  </si>
  <si>
    <t>Secrétariat social</t>
  </si>
  <si>
    <t>Cotisations Panathlon</t>
  </si>
  <si>
    <t>Cotisation VB</t>
  </si>
  <si>
    <t>Cotisations</t>
  </si>
  <si>
    <t>Assurance incendie</t>
  </si>
  <si>
    <t>Assurances voitures</t>
  </si>
  <si>
    <t>Assurance RC + dommages corporels (Ethias année complète)</t>
  </si>
  <si>
    <t>Autres assurances - LADURON ass. Juridique</t>
  </si>
  <si>
    <t>Autres assurances - ETHIAS RC clubs affiliés</t>
  </si>
  <si>
    <t>Autres assurances - ETHIAS RC administrateurs</t>
  </si>
  <si>
    <t>Autres assurances - ETHIAS matériel informatique</t>
  </si>
  <si>
    <t>Autres assurances</t>
  </si>
  <si>
    <t>Assurances soins de santé 357,75 BW  20 + 536,63 HT 08</t>
  </si>
  <si>
    <t xml:space="preserve">Frais déplacement en Belgique (Principalemnt CA </t>
  </si>
  <si>
    <t>Frais séjour en Belgique (Restauration &amp; Boissons réunions)</t>
  </si>
  <si>
    <t>Frais de représentation du CA</t>
  </si>
  <si>
    <t>Commission arbitrage</t>
  </si>
  <si>
    <t>Commission juridique</t>
  </si>
  <si>
    <t>Commission compétition</t>
  </si>
  <si>
    <t>Frais de commission</t>
  </si>
  <si>
    <t>AUTRES DEPENSES</t>
  </si>
  <si>
    <t>CFES  frais fonctionnement</t>
  </si>
  <si>
    <t>VB return inscription niv 1&amp;2</t>
  </si>
  <si>
    <t>Volley league vidéo challenge</t>
  </si>
  <si>
    <t>Return affiliations/amendes aux provinces</t>
  </si>
  <si>
    <t>Organisation grand événement national (Ticket CB 5000</t>
  </si>
  <si>
    <t>Personnes mises à la disposition association</t>
  </si>
  <si>
    <t>616xx &amp; 617xx</t>
  </si>
  <si>
    <t>Autres dépenses</t>
  </si>
  <si>
    <t>Rémunération Brute Rase</t>
  </si>
  <si>
    <t>Assurances extra-légales</t>
  </si>
  <si>
    <t>Achat de fournitures - matériel sportif &amp; Textiles HN</t>
  </si>
  <si>
    <t>Centre fédéral &amp; Districts - Stages Vacances HN</t>
  </si>
  <si>
    <t>Centre fédéral &amp; Districts - Locations Récurrentes Salles HN</t>
  </si>
  <si>
    <t>Centre fédéral &amp; Districts - Transports</t>
  </si>
  <si>
    <t xml:space="preserve">Centre fédéral &amp; Districts </t>
  </si>
  <si>
    <t>Rising Teams - Stages</t>
  </si>
  <si>
    <t>Rising Team événement international</t>
  </si>
  <si>
    <t xml:space="preserve">Rising Teams </t>
  </si>
  <si>
    <t>Compétition - participation Joueurs / Joueuses</t>
  </si>
  <si>
    <t>Compétition - Frais de déplacement / Séjour</t>
  </si>
  <si>
    <t>Compétition sommets - participation</t>
  </si>
  <si>
    <t>Week-end de détection</t>
  </si>
  <si>
    <t>SHN Pôles d'excellence et centes de formation</t>
  </si>
  <si>
    <r>
      <t xml:space="preserve">Aides individuelles </t>
    </r>
    <r>
      <rPr>
        <b/>
        <sz val="11"/>
        <color rgb="FFFF0000"/>
        <rFont val="Calibri (Corps)"/>
      </rPr>
      <t>(3000 Humblet 3000 Piret)</t>
    </r>
  </si>
  <si>
    <t>Rémunération Art 17 HN</t>
  </si>
  <si>
    <t>Moventis HN</t>
  </si>
  <si>
    <t>Prestations &amp; déplacements HN</t>
  </si>
  <si>
    <t>Rémunération HN</t>
  </si>
  <si>
    <t>Formation de cadres - Locat Mat &amp; Salle Initiateur</t>
  </si>
  <si>
    <t>Formation de cadres - cours -  Locat Mat &amp; Salle Educateur</t>
  </si>
  <si>
    <t xml:space="preserve">Formation de cadres - cours </t>
  </si>
  <si>
    <t>Formation de cadres - clinics</t>
  </si>
  <si>
    <t>Autres dépenses formation de cadres - Documents Pédagogiques</t>
  </si>
  <si>
    <t>Dépenses Be Gold</t>
  </si>
  <si>
    <t>Dépenses en achat matériel</t>
  </si>
  <si>
    <t>Prestations &amp; déplacements FC</t>
  </si>
  <si>
    <t>Rémunération HC</t>
  </si>
  <si>
    <t>Rémunération Art 17 FC</t>
  </si>
  <si>
    <t>DEPENSES SERVICES AUX CLUBS</t>
  </si>
  <si>
    <t>Labellisation des clubs</t>
  </si>
  <si>
    <r>
      <rPr>
        <sz val="11"/>
        <rFont val="Calibri (Corps)"/>
      </rPr>
      <t>Interprovinces</t>
    </r>
    <r>
      <rPr>
        <sz val="11"/>
        <rFont val="Calibri"/>
        <family val="2"/>
        <scheme val="minor"/>
      </rPr>
      <t xml:space="preserve"> / district / U13</t>
    </r>
  </si>
  <si>
    <t>Kick-Off</t>
  </si>
  <si>
    <t>FFJ : arbitrage &amp; coupe</t>
  </si>
  <si>
    <t>FNJ : Arbitrage &amp; Coupes</t>
  </si>
  <si>
    <t>Manifestations</t>
  </si>
  <si>
    <t>Soutien Club Ligue</t>
  </si>
  <si>
    <t>Proxy Volley</t>
  </si>
  <si>
    <t>Proxy Physique</t>
  </si>
  <si>
    <t>Proxy volley &amp; Proxy Physique</t>
  </si>
  <si>
    <t>AMORTISSEMENTS</t>
  </si>
  <si>
    <t>Amortissement logiciel</t>
  </si>
  <si>
    <t>Amortissement immeuble</t>
  </si>
  <si>
    <t>Amortissement aménagement immeuble</t>
  </si>
  <si>
    <t>Amort. Instal., machines, matériel</t>
  </si>
  <si>
    <t>Amortissement mobilier</t>
  </si>
  <si>
    <t xml:space="preserve">Amortissement matériel roulant </t>
  </si>
  <si>
    <t>Amortissement matériel roulant - fin de contrat leasing 06/2021</t>
  </si>
  <si>
    <t>630XXX</t>
  </si>
  <si>
    <t>Amortissements</t>
  </si>
  <si>
    <t>PROVISIONS RISQUES ET CHARGES</t>
  </si>
  <si>
    <t>Prov. risques et charges - aides covid cotisation annuelles clubs saison 21-22</t>
  </si>
  <si>
    <t>Prov. risques et charges - création clubs et équipes jeunes</t>
  </si>
  <si>
    <t>Provision pour autres risques et charges</t>
  </si>
  <si>
    <t>Provision projet augmentation nombre d'affiliés</t>
  </si>
  <si>
    <t>Provision return affiliations entités saison en cours</t>
  </si>
  <si>
    <t>Provision organisation finales francophones et nationales</t>
  </si>
  <si>
    <t>Provision projet déménagement</t>
  </si>
  <si>
    <t>Provision participation Organisation internationale</t>
  </si>
  <si>
    <t>Provision organisation Nationale</t>
  </si>
  <si>
    <t>Provision remise en état toiture garage</t>
  </si>
  <si>
    <t>Provision éuipements sportifs</t>
  </si>
  <si>
    <t>Provision projet A-sport (collaboration réseau des médias locaux)</t>
  </si>
  <si>
    <t>Consulting Bonne gouvernance</t>
  </si>
  <si>
    <t>Provision digitalisation /Plateforme</t>
  </si>
  <si>
    <t>637XXX</t>
  </si>
  <si>
    <t>Provision prévisionnelle fin 11/2024 pour budget 2025</t>
  </si>
  <si>
    <t>Subvention région Wallonne de 2014</t>
  </si>
  <si>
    <t>AUTRES CHARGES D'EXPLOITATION</t>
  </si>
  <si>
    <t>Taxe circulation PEUGEOT</t>
  </si>
  <si>
    <t>Taxe circulation mini bus</t>
  </si>
  <si>
    <t>Taxe circulation voiture</t>
  </si>
  <si>
    <t>Précompte mobilier</t>
  </si>
  <si>
    <t>Autres taxes</t>
  </si>
  <si>
    <t>Taxes ASBL &amp; impôts personnes morales</t>
  </si>
  <si>
    <t>Taxe Reprobel</t>
  </si>
  <si>
    <t>Taxes autres</t>
  </si>
  <si>
    <t>Moins value réalisation créance client</t>
  </si>
  <si>
    <t>Amendes - pénalités</t>
  </si>
  <si>
    <t>Intérêts et frais afférents aux dettes -BEEZ</t>
  </si>
  <si>
    <t>Indemnité de remploi Crédit BEEZ DAS/FORTIS</t>
  </si>
  <si>
    <t>Intérets Frais Aff Det - PEUGEOT leasing 2021</t>
  </si>
  <si>
    <t>Intérêts et frais afférents aux dettes - VW T-Roc 2023 (222,37 / MOIS)`</t>
  </si>
  <si>
    <t>Int Frais Aff Det - PEUGEOT leasing  2022 2AXS733</t>
  </si>
  <si>
    <t>Int Frais Aff Det - PEUGEOT leasing  2022 2AXT411</t>
  </si>
  <si>
    <t xml:space="preserve">Intérêts et frais afférents aux dettes </t>
  </si>
  <si>
    <t>Charges financières (400 extrait de compte)</t>
  </si>
  <si>
    <t>Impôts personnes morales</t>
  </si>
  <si>
    <t>Précompté Immobilier</t>
  </si>
  <si>
    <t>Impôts estimés</t>
  </si>
  <si>
    <t>Taxe Annuelle Compens droits succession</t>
  </si>
  <si>
    <t>Bénéfice à reporter</t>
  </si>
  <si>
    <t>CHARGES EXCEPTIONNELLES</t>
  </si>
  <si>
    <t>Réductions de valeurs sur terrain et immeuble</t>
  </si>
  <si>
    <t>Charges exceptionnelles - soutien aux clubs</t>
  </si>
  <si>
    <t>TOTAL DEPENSES</t>
  </si>
  <si>
    <t>Rémunération Sepp - HN</t>
  </si>
  <si>
    <t>Rémunération Brute Martin</t>
  </si>
  <si>
    <t>DETAIL RECETTE &lt;-&gt; Budget</t>
  </si>
  <si>
    <t>BUD 2025 Adeps A</t>
  </si>
  <si>
    <t>BUD 2026</t>
  </si>
  <si>
    <t>BUD 2025 base</t>
  </si>
  <si>
    <t>BUD 2025 Adeps B</t>
  </si>
  <si>
    <t>VENTES DE BIENS PRODUITS PAR L'ASSOCIATION</t>
  </si>
  <si>
    <t>Documents administratifs, articles de sport</t>
  </si>
  <si>
    <t>Brochures techniques</t>
  </si>
  <si>
    <t>Inscriptions formations de cadres</t>
  </si>
  <si>
    <t>Inscriptions formations juges et arbitres</t>
  </si>
  <si>
    <t>Inscriptions championnats &amp; coupes</t>
  </si>
  <si>
    <t>Return VB - inscriptions niveaux 1 &amp; 2</t>
  </si>
  <si>
    <t>Inscriptions championnats &amp; coupes - aide aux clubs</t>
  </si>
  <si>
    <t>Inscriptions beach</t>
  </si>
  <si>
    <t>Inscriptions stages</t>
  </si>
  <si>
    <t>Inscriptions stages d'été</t>
  </si>
  <si>
    <t>Amendes administratives</t>
  </si>
  <si>
    <t>Autres amendes</t>
  </si>
  <si>
    <t>Assurances affiliés (100,33 / club pas tous les clubs)</t>
  </si>
  <si>
    <t>Assurance soins de santé</t>
  </si>
  <si>
    <t>Recettes championnats</t>
  </si>
  <si>
    <t>Volley League Video Challenge</t>
  </si>
  <si>
    <t>Recettes organisations</t>
  </si>
  <si>
    <t>Recettes Proxy Volley</t>
  </si>
  <si>
    <t>Reecettes tournois</t>
  </si>
  <si>
    <t>Autres recettes compétitions</t>
  </si>
  <si>
    <t>Caisse d'arbitrage FVWB</t>
  </si>
  <si>
    <t>Caisse d'arbitrage VB</t>
  </si>
  <si>
    <t>Sponsoring Ethias</t>
  </si>
  <si>
    <t>Autres sponsoring</t>
  </si>
  <si>
    <t>Autres sponsoring - Mikasa</t>
  </si>
  <si>
    <t>Brevets capacitaires ou fédéraux - cartes de coachs</t>
  </si>
  <si>
    <t>Autres recettes</t>
  </si>
  <si>
    <t>CHIFFRE D'AFFAIRE</t>
  </si>
  <si>
    <t>Cotisation clubs (125 € * 136)</t>
  </si>
  <si>
    <t>Cotisation des membres adhérents +18 ans (47 €)   (c 5483)</t>
  </si>
  <si>
    <t>Cotisation des membres adhérents - 18 ans (33 €)   (c 6263)</t>
  </si>
  <si>
    <t>Cotisation des membres adhérents -10 ans (15  €)   (c 572)</t>
  </si>
  <si>
    <t>Cotisation des membres adhérents - 8 ans (10 €)   (C 350)</t>
  </si>
  <si>
    <t>Cotisation des membres adhérents administratifs (23€) (1281 Adm+ 84)</t>
  </si>
  <si>
    <t>Cotisation des membres adhérents loisirs (23 €)    (C 1738)</t>
  </si>
  <si>
    <t>Cotisation des membres adhérents loisirs 8000</t>
  </si>
  <si>
    <t>Cotisation des membres adhérents soigneurs (10 €)    (C 9)</t>
  </si>
  <si>
    <t>Cotisation des membres adhérents bénévoles (0 €)(clubee 155)</t>
  </si>
  <si>
    <t>7310xx</t>
  </si>
  <si>
    <t>Cotisation des membres adhérents</t>
  </si>
  <si>
    <t>Cotis. Membres adhérents perçues d'avance</t>
  </si>
  <si>
    <t>Subv. ADEPS fonctionnement</t>
  </si>
  <si>
    <t>Subv. ADEPS sport haut niveau - avance (Fonds Ecureuil)</t>
  </si>
  <si>
    <t>Subv. ADEPS Formation cadres - avance (Subvention FC 25)</t>
  </si>
  <si>
    <t>Subv. ADEPS non marchand - sec.social</t>
  </si>
  <si>
    <t>Subv. ADEPS programme dvlpmnt sportif IDHPS</t>
  </si>
  <si>
    <t>Subv. ADEPS programme labellisation</t>
  </si>
  <si>
    <t>Subv. Adeps formation formateur coach pour haut potentiel</t>
  </si>
  <si>
    <t>Subvention COIB  --&gt; BE GOLD</t>
  </si>
  <si>
    <t>Subvention Notoriété</t>
  </si>
  <si>
    <t>Subventions Loterie Nationale --&gt; Fair Play</t>
  </si>
  <si>
    <t xml:space="preserve">  </t>
  </si>
  <si>
    <t>Subventions Loterie Nationale --&gt; Campagne promotion Equipes nationales :  communication</t>
  </si>
  <si>
    <t>Autres subventions</t>
  </si>
  <si>
    <t>COTISATIONS, DONS, LEGS &amp; SUBSIDES</t>
  </si>
  <si>
    <t>Plus-value sur réalisation immobilisation corporelle</t>
  </si>
  <si>
    <t>Mise à disposition locaux (630/Mois)</t>
  </si>
  <si>
    <t>Mise à disposition vidéo challenge</t>
  </si>
  <si>
    <t>AV en nature voiture société employé</t>
  </si>
  <si>
    <t>Ristourne charges patr.cadres sportifs</t>
  </si>
  <si>
    <t xml:space="preserve">Compensation cotisation sécurité sociale </t>
  </si>
  <si>
    <t>Produits des immobilisations financières</t>
  </si>
  <si>
    <t>Produits des actifs circulants</t>
  </si>
  <si>
    <t>Différence de change</t>
  </si>
  <si>
    <t>Ecarts de conversion des devises</t>
  </si>
  <si>
    <t>PRODUITS EXCEPTIONNELS</t>
  </si>
  <si>
    <t>Reprises de provision</t>
  </si>
  <si>
    <t>76XX</t>
  </si>
  <si>
    <t>Reprise amortissement subside de 2014</t>
  </si>
  <si>
    <t>Plus-value sur réalisation actifs immobiliers</t>
  </si>
  <si>
    <t>Produits non réccurents - exceprionnels (budget en équilibre)</t>
  </si>
  <si>
    <t>VENTES et PRESTATIONS</t>
  </si>
  <si>
    <t>Subv. ADEPS fonctionnement - solde</t>
  </si>
  <si>
    <t>Subv. ADEPS sport haut niveau - solde année précédente</t>
  </si>
  <si>
    <t>Subv. ADEPS Formation - solde année précédente</t>
  </si>
  <si>
    <t>Subv. ADEPS sport HN - solde à recevoir</t>
  </si>
  <si>
    <t>Subv. ADEPS FC - solde à recevoir</t>
  </si>
  <si>
    <t>Subv. ADEPS suppl. non marchand - avance</t>
  </si>
  <si>
    <t>Subv. ADEPS suppl. non marchand - solde</t>
  </si>
  <si>
    <t>Subv. BE Gold Avance</t>
  </si>
  <si>
    <t>Subv. BE Gold Solde</t>
  </si>
  <si>
    <t>Subv. ADEPS achat matériel</t>
  </si>
  <si>
    <t>Subv. ADEPS Golden League 23</t>
  </si>
  <si>
    <t>€</t>
  </si>
  <si>
    <t>Budget 25 Nov</t>
  </si>
  <si>
    <t>Cbee</t>
  </si>
  <si>
    <t>Budget 26 Nov</t>
  </si>
  <si>
    <t>Budget 26 Nov + 1 €</t>
  </si>
  <si>
    <t>adhérents +18 ans</t>
  </si>
  <si>
    <t>adhérents - 18 ans</t>
  </si>
  <si>
    <t>adhérents -10 ans</t>
  </si>
  <si>
    <t>adhérents - 8 ans</t>
  </si>
  <si>
    <t>adhérents admin</t>
  </si>
  <si>
    <t>adhérents loisirs</t>
  </si>
  <si>
    <t>adhérents soigneurs</t>
  </si>
  <si>
    <t>adhérents bénévoles</t>
  </si>
  <si>
    <t>U7</t>
  </si>
  <si>
    <t>Locations de salles:réunions</t>
  </si>
  <si>
    <t>Bouge</t>
  </si>
  <si>
    <t>FGTB</t>
  </si>
  <si>
    <t>Carburants</t>
  </si>
  <si>
    <t>Rase mois soit +- 2.050 km</t>
  </si>
  <si>
    <t>DT 10 mois soit +- 4.100 km</t>
  </si>
  <si>
    <t>Frais de téléphone</t>
  </si>
  <si>
    <t>Groovit 11 mois soit 241,49 / mois</t>
  </si>
  <si>
    <t>Mobile Base DG 9 mois</t>
  </si>
  <si>
    <t>Formation juges et arbitres, visionnement</t>
  </si>
  <si>
    <t>Nogara</t>
  </si>
  <si>
    <t>Déplacement Formation</t>
  </si>
  <si>
    <t>Déplacement Visionnement</t>
  </si>
  <si>
    <t>Dehut</t>
  </si>
  <si>
    <t>Emma</t>
  </si>
  <si>
    <t>Cornet</t>
  </si>
  <si>
    <t>Schmets M</t>
  </si>
  <si>
    <t>Paduart</t>
  </si>
  <si>
    <t>Tillet</t>
  </si>
  <si>
    <t>Diigiacomo</t>
  </si>
  <si>
    <t>Didembourg</t>
  </si>
  <si>
    <t>Boulanger</t>
  </si>
  <si>
    <t>Brogniet</t>
  </si>
  <si>
    <t>Baguette</t>
  </si>
  <si>
    <t>Humblet</t>
  </si>
  <si>
    <t>Gilson</t>
  </si>
  <si>
    <t>Boisson</t>
  </si>
  <si>
    <t>Demonceau</t>
  </si>
  <si>
    <t>Roemers</t>
  </si>
  <si>
    <t>Driessens</t>
  </si>
  <si>
    <t>Ben Moussa</t>
  </si>
  <si>
    <t>Sauvage</t>
  </si>
  <si>
    <t>Pecheur</t>
  </si>
  <si>
    <t>Van Coillie</t>
  </si>
  <si>
    <t>Fagnant</t>
  </si>
  <si>
    <t>Leclercq</t>
  </si>
  <si>
    <t>Dessy</t>
  </si>
  <si>
    <t>Gruslin</t>
  </si>
  <si>
    <t>Hrebenar</t>
  </si>
  <si>
    <t>France</t>
  </si>
  <si>
    <t>Delrue</t>
  </si>
  <si>
    <t>Bruwier</t>
  </si>
  <si>
    <t>Breuse</t>
  </si>
  <si>
    <t>Lenelle</t>
  </si>
  <si>
    <t>Duculot</t>
  </si>
  <si>
    <t>Tournay</t>
  </si>
  <si>
    <t>Bonami</t>
  </si>
  <si>
    <t>Poriau</t>
  </si>
  <si>
    <t>Josseaux</t>
  </si>
  <si>
    <t>Brankart</t>
  </si>
  <si>
    <t>Remacle</t>
  </si>
  <si>
    <t>Register</t>
  </si>
  <si>
    <t>Savone</t>
  </si>
  <si>
    <t>Eugene</t>
  </si>
  <si>
    <t>Debie</t>
  </si>
  <si>
    <t>Van Dooren</t>
  </si>
  <si>
    <t>Cours CEV</t>
  </si>
  <si>
    <t>Deplacement Examen</t>
  </si>
  <si>
    <t>Majerus</t>
  </si>
  <si>
    <t>Moisse</t>
  </si>
  <si>
    <t>Slavov</t>
  </si>
  <si>
    <t>Fagnant D</t>
  </si>
  <si>
    <t>Jakubzych</t>
  </si>
  <si>
    <t>Delforge</t>
  </si>
  <si>
    <t>Jenar</t>
  </si>
  <si>
    <t>Schmets T</t>
  </si>
  <si>
    <t>Dangriaux</t>
  </si>
  <si>
    <t>Willems</t>
  </si>
  <si>
    <t>Panican</t>
  </si>
  <si>
    <t xml:space="preserve">Renard </t>
  </si>
  <si>
    <t>Guillaume</t>
  </si>
  <si>
    <t>Frais déplacement en Belgique</t>
  </si>
  <si>
    <t>Tickets TEC</t>
  </si>
  <si>
    <t>LoppE</t>
  </si>
  <si>
    <t>Railpass</t>
  </si>
  <si>
    <t>Carlier</t>
  </si>
  <si>
    <t>Habets</t>
  </si>
  <si>
    <t>Depover</t>
  </si>
  <si>
    <t>Reterre</t>
  </si>
  <si>
    <t>Van Bever</t>
  </si>
  <si>
    <t>Valentin</t>
  </si>
  <si>
    <t>Gruselin</t>
  </si>
  <si>
    <t>Achten</t>
  </si>
  <si>
    <t>Vanleeuw</t>
  </si>
  <si>
    <t>Offermans</t>
  </si>
  <si>
    <t>Dewilde</t>
  </si>
  <si>
    <t>André</t>
  </si>
  <si>
    <t>Schmitt`</t>
  </si>
  <si>
    <t>Hourlay</t>
  </si>
  <si>
    <t>Schmets</t>
  </si>
  <si>
    <t>Lafra-^cheur</t>
  </si>
  <si>
    <t>S</t>
  </si>
  <si>
    <t>Sandwiches</t>
  </si>
  <si>
    <t>AG</t>
  </si>
  <si>
    <t>Croissants</t>
  </si>
  <si>
    <t>Boissons</t>
  </si>
  <si>
    <t>FgtB</t>
  </si>
  <si>
    <t>La Fraîcheur</t>
  </si>
  <si>
    <t>Autre</t>
  </si>
  <si>
    <t>Loppe</t>
  </si>
  <si>
    <t>Compétition</t>
  </si>
  <si>
    <t>CFA</t>
  </si>
  <si>
    <t>Verstareten</t>
  </si>
  <si>
    <t>Juridique</t>
  </si>
  <si>
    <t xml:space="preserve">Bodet </t>
  </si>
  <si>
    <t>Gosset</t>
  </si>
  <si>
    <t>Juwet</t>
  </si>
  <si>
    <t>Heban</t>
  </si>
  <si>
    <t>Sandrey</t>
  </si>
  <si>
    <t>Van Overmeiren</t>
  </si>
  <si>
    <t>Haager</t>
  </si>
  <si>
    <t>Sureting</t>
  </si>
  <si>
    <t>Abad</t>
  </si>
  <si>
    <t>Allard</t>
  </si>
  <si>
    <t>Driesman</t>
  </si>
  <si>
    <t>Vancoillie</t>
  </si>
  <si>
    <t>Seneffe réunion</t>
  </si>
  <si>
    <t>DT</t>
  </si>
  <si>
    <t>Sandwichs</t>
  </si>
  <si>
    <t>Dascotte</t>
  </si>
  <si>
    <t>juridique</t>
  </si>
  <si>
    <t>Résultat 2024 &amp; BUDGET 2025</t>
  </si>
  <si>
    <t xml:space="preserve">Ventilation des comptes - classe 6 </t>
  </si>
  <si>
    <t>Achat de fournitures - matériel sportif</t>
  </si>
  <si>
    <t>Locations immobilières</t>
  </si>
  <si>
    <t>Locations des installations</t>
  </si>
  <si>
    <t>Location matériel de bureau</t>
  </si>
  <si>
    <t>Location de véhicules</t>
  </si>
  <si>
    <t>Leasing VW 2ESJ993</t>
  </si>
  <si>
    <t>SIP WELL - CULLIGAN Fontaine d'eau &amp; Autres</t>
  </si>
  <si>
    <t>Entretien et réparations immeuble - Rulmont chauffage</t>
  </si>
  <si>
    <t>Entretien et réparations immeuble - extincteur</t>
  </si>
  <si>
    <t>Entretien et réparations immeuble - nettoyage locaux</t>
  </si>
  <si>
    <t>Entretien et réparations immeuble - brico</t>
  </si>
  <si>
    <t>Entretien et réparations immeuble - jardin</t>
  </si>
  <si>
    <t>Entretien et réparations immeuble - divers</t>
  </si>
  <si>
    <t>Entretien et réparations immeuble</t>
  </si>
  <si>
    <t>Surveillance, alarme</t>
  </si>
  <si>
    <t>Entretien et réparation matériel de bureau</t>
  </si>
  <si>
    <t>Entretien et réparations divers - PEUGEOT leasing</t>
  </si>
  <si>
    <t xml:space="preserve">Entretien et réparations divers </t>
  </si>
  <si>
    <t xml:space="preserve">Leasing 2AXS733 fin 09/2024 - valeur rachat </t>
  </si>
  <si>
    <t>Entretien et réparations divers - PEUGEOT leasing 2022  2AXS733</t>
  </si>
  <si>
    <t>Entretien et réparations divers - PEUGEOT leasing 2022  2AXT411</t>
  </si>
  <si>
    <t>Entretien et réparations divers - mini bus</t>
  </si>
  <si>
    <t>Eau</t>
  </si>
  <si>
    <t>Electricité</t>
  </si>
  <si>
    <t>Carburant</t>
  </si>
  <si>
    <t>Mazout de chauffage</t>
  </si>
  <si>
    <t>Photocopies</t>
  </si>
  <si>
    <t>Fournitures de bureau</t>
  </si>
  <si>
    <t>Imprimés et fournitures de bureau</t>
  </si>
  <si>
    <t>Fornitures diverses</t>
  </si>
  <si>
    <t>Matériel et mobilier de bureau</t>
  </si>
  <si>
    <t>Matériel et service informatique - hébergement backup</t>
  </si>
  <si>
    <t>Matériel et service informatique - matériel</t>
  </si>
  <si>
    <t xml:space="preserve">Matériel et service informatique - socialware </t>
  </si>
  <si>
    <t>Matériel et service informatique - licence fedinside</t>
  </si>
  <si>
    <t>Matériel et service informatique - contrat maintenance fedinside</t>
  </si>
  <si>
    <t>Matériel et service informatique - licence doodle</t>
  </si>
  <si>
    <t>Matériel et service informatique -microsoft office</t>
  </si>
  <si>
    <t>Matériel et service informatique -licenc ZOOM</t>
  </si>
  <si>
    <t>Matériel et service informatique -EXEKO</t>
  </si>
  <si>
    <t>Matériel et service informatique -DATA VOLLEY PRO</t>
  </si>
  <si>
    <t>Matériel et service informatique -prestations</t>
  </si>
  <si>
    <t>Matériel et service informatique - Clubee licence</t>
  </si>
  <si>
    <t>Matériel et service informatique -WINBOOKS via NEURONICS</t>
  </si>
  <si>
    <t>Frais de poste</t>
  </si>
  <si>
    <t>Service informatique :</t>
  </si>
  <si>
    <r>
      <t>·</t>
    </r>
    <r>
      <rPr>
        <sz val="11"/>
        <color theme="1"/>
        <rFont val="Times New Roman"/>
        <family val="1"/>
      </rPr>
      <t>     Fedinside</t>
    </r>
    <r>
      <rPr>
        <sz val="11"/>
        <color theme="1"/>
        <rFont val="Calibri"/>
        <family val="2"/>
        <scheme val="minor"/>
      </rPr>
      <t> : fin d'activité en 2024</t>
    </r>
  </si>
  <si>
    <r>
      <t>·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CLUBEE : 3250 EUR/Trimestre + tva ; licence (comme précédemment avec Fedinside)</t>
    </r>
  </si>
  <si>
    <r>
      <t>·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Volley Spike : 4250 EUR/saison</t>
    </r>
  </si>
  <si>
    <t>Internet VOO</t>
  </si>
  <si>
    <t>Internet hébergement Fedinside</t>
  </si>
  <si>
    <t>Internet domaine &amp; infomaniak &amp; Vimeo</t>
  </si>
  <si>
    <t>Salons</t>
  </si>
  <si>
    <t>Brochure, dépliants, revues</t>
  </si>
  <si>
    <r>
      <t xml:space="preserve">Projets dans les écoles </t>
    </r>
    <r>
      <rPr>
        <b/>
        <sz val="11"/>
        <color rgb="FFFF0000"/>
        <rFont val="Calibri"/>
        <family val="2"/>
        <scheme val="minor"/>
      </rPr>
      <t>&amp; entités</t>
    </r>
  </si>
  <si>
    <t>Brevets capacitaires ou fédéraux</t>
  </si>
  <si>
    <t>Autres frais promotionnels</t>
  </si>
  <si>
    <t>Honoraires - avocat - agent immobilier</t>
  </si>
  <si>
    <t>Honoraires - prestations interprètes CA VB</t>
  </si>
  <si>
    <t>Honoraires - fiduciaire</t>
  </si>
  <si>
    <t>Autres redevances et rétributions</t>
  </si>
  <si>
    <t>Cotisation CIDD</t>
  </si>
  <si>
    <t>Cotisations AISF</t>
  </si>
  <si>
    <t>Assurances voitures PEUGEOT leasing 2021</t>
  </si>
  <si>
    <t>Assurances voitures PEUGEOT leasing 2022  2AXS733</t>
  </si>
  <si>
    <t>Assurances voitures PEUGEOT leasing 2022  2AXT711</t>
  </si>
  <si>
    <t>Assurance VW T-Roc</t>
  </si>
  <si>
    <t xml:space="preserve">Assurances voitures </t>
  </si>
  <si>
    <t>Assurance RC + dommages corporels</t>
  </si>
  <si>
    <t>Assurances soins de santé</t>
  </si>
  <si>
    <t>Annonces publicité</t>
  </si>
  <si>
    <t>Publication légale</t>
  </si>
  <si>
    <t>Frais déplacement à l'étranger</t>
  </si>
  <si>
    <t>Frais séjour en Belgique</t>
  </si>
  <si>
    <t>Frais séjour à l'étranger</t>
  </si>
  <si>
    <t>Frais forfaitaire travail à domicile</t>
  </si>
  <si>
    <t>Frais de représentation</t>
  </si>
  <si>
    <t>Communiquation &amp; promotion - plan stratégique</t>
  </si>
  <si>
    <t>Cadeaux</t>
  </si>
  <si>
    <t>DEPENSES PLAN PROGRAMME (SHN)</t>
  </si>
  <si>
    <t>Stage</t>
  </si>
  <si>
    <t>Stage F SPA - Stage Ouvert (Guibertin)1 Neuchateau</t>
  </si>
  <si>
    <t>JT Activité bi-mensuelles d'entrain. Groupe JT</t>
  </si>
  <si>
    <t>OK</t>
  </si>
  <si>
    <t>Groupe JT : achat matériel spécifique</t>
  </si>
  <si>
    <t>JT : suivi individuel des athlètes</t>
  </si>
  <si>
    <t>Plan stratégique Intervenant pédagogique/Consultant</t>
  </si>
  <si>
    <t>ES Entraînements hebdo centre 1</t>
  </si>
  <si>
    <t>ES Entraînements hebdo centre 2</t>
  </si>
  <si>
    <t>ES licence DATA VOLLEY</t>
  </si>
  <si>
    <t>ES Licence volley meytrix</t>
  </si>
  <si>
    <t>ES Stages</t>
  </si>
  <si>
    <t>ES Encadrement cellule médicale</t>
  </si>
  <si>
    <t>ES Achat matériel kiné</t>
  </si>
  <si>
    <t>ES Analyse vidéo individualisée</t>
  </si>
  <si>
    <t>ES accompagnement physique individualisé</t>
  </si>
  <si>
    <t>ES Accompagnement mental sous forme de workshop</t>
  </si>
  <si>
    <t>ES Accompagnement au niveau nutrition</t>
  </si>
  <si>
    <t>JT Stage F &amp; G LOVERVAL VILVOORDE SENEFFE</t>
  </si>
  <si>
    <t xml:space="preserve">JT Tournoi international étranger G </t>
  </si>
  <si>
    <t>JT Tournoi international étranger F</t>
  </si>
  <si>
    <t xml:space="preserve">ES Tournoi international étranger G </t>
  </si>
  <si>
    <t>ES Tournoi international étranger F</t>
  </si>
  <si>
    <t>Kiné : visite entités &amp; stages --&gt; prestations et déplacements</t>
  </si>
  <si>
    <t>Test ILG</t>
  </si>
  <si>
    <t>JT : suivi championnat francophone Uage</t>
  </si>
  <si>
    <t>JT : suivi championnat national Uage</t>
  </si>
  <si>
    <t>JT Frais de deplacement entraînement</t>
  </si>
  <si>
    <t>ES Frais de deplacement entraînement</t>
  </si>
  <si>
    <t>Prestations  entraîneurs</t>
  </si>
  <si>
    <t>Rencontres préparation - organisations déplacements</t>
  </si>
  <si>
    <t>Rencontres préparation - arbitrage</t>
  </si>
  <si>
    <t>Rencontres préparation - entraîneurs vacataires</t>
  </si>
  <si>
    <t>Equipements &amp; divers</t>
  </si>
  <si>
    <t>Entraînements hebdomadaires filles (mercredi/dimanche)</t>
  </si>
  <si>
    <t>Entraînements hebdomadaires garçons (mercredi/dimanche)</t>
  </si>
  <si>
    <t xml:space="preserve">Rencontres préparation - loc. salle pôles excellence </t>
  </si>
  <si>
    <t>Rencontres préparation - organisations</t>
  </si>
  <si>
    <t>ES Compétition sommets - participation équipe nationale Uage</t>
  </si>
  <si>
    <t>ES Cjampionnat du monde U19 et U21</t>
  </si>
  <si>
    <t>ES équipe national Uage staff technique</t>
  </si>
  <si>
    <t>ES Scouting compétitions</t>
  </si>
  <si>
    <t>AXE 3 Compétition sommets - part. éq nat Red Dragon - Yellow Tigers</t>
  </si>
  <si>
    <t>AXE 3 Championnat du monde et VNL</t>
  </si>
  <si>
    <t>AXE 3 intervention staff technique en équipes représentatives</t>
  </si>
  <si>
    <t>Stage tournois internationaux : Kiné</t>
  </si>
  <si>
    <t>Espagne</t>
  </si>
  <si>
    <t>Tournoi Espapgne et Pologne: mise à dispo salle</t>
  </si>
  <si>
    <t xml:space="preserve">Tournoi  FILLES Espagne - tickets / frais séjour </t>
  </si>
  <si>
    <t>Tournoi Espagne - Ethias</t>
  </si>
  <si>
    <t>Tournoi Espagne - Divers</t>
  </si>
  <si>
    <t>Tournoi Espagne - Prestatio scouter Data Volley</t>
  </si>
  <si>
    <t xml:space="preserve">Tournoi GARCONS Pologne - tickets / frais séjour </t>
  </si>
  <si>
    <t>Tournoi Pologne - Ethias</t>
  </si>
  <si>
    <t>Tournoi Pologne - Divers</t>
  </si>
  <si>
    <t>Tournoi Pologne - Prestatio scouter Data Volley</t>
  </si>
  <si>
    <t>Compétition sommets - participation ADEPS SENEFFE</t>
  </si>
  <si>
    <t>Accueil équipe étrangère</t>
  </si>
  <si>
    <t>Aides individuelles</t>
  </si>
  <si>
    <t>AUTRES DEPENSES DU SHN</t>
  </si>
  <si>
    <t>Détections filles</t>
  </si>
  <si>
    <t>Détections garçons</t>
  </si>
  <si>
    <t>Détections haut potentiel</t>
  </si>
  <si>
    <t>Volley@school</t>
  </si>
  <si>
    <t>Volley@prison</t>
  </si>
  <si>
    <t>Journées découvertes</t>
  </si>
  <si>
    <t>Autres rubriques du sport haut niveau</t>
  </si>
  <si>
    <t>ULB &amp; ULG test IDHPS</t>
  </si>
  <si>
    <t>Location salle IDHPS</t>
  </si>
  <si>
    <t>Stage IDHPS</t>
  </si>
  <si>
    <t>Prestations &amp; déplacements IDHPS</t>
  </si>
  <si>
    <t>Projet identification HP</t>
  </si>
  <si>
    <t>Formation formateurs/détection IDHPS</t>
  </si>
  <si>
    <t>Autres dépenses Volley Academy - musculation</t>
  </si>
  <si>
    <t>Autres dépenses Volley Academy - kiné</t>
  </si>
  <si>
    <t>Autres dépenses Volley Academy 2021</t>
  </si>
  <si>
    <t xml:space="preserve">Beach volley location terrain intérieur </t>
  </si>
  <si>
    <t>Beach volley location terrain extérieur (Gembloux, Verlaine…)</t>
  </si>
  <si>
    <t xml:space="preserve">Beach volley provincial </t>
  </si>
  <si>
    <t>Beach volley - entraineur P. Hens</t>
  </si>
  <si>
    <t>Beach volley - arbitrage</t>
  </si>
  <si>
    <t>Beach volley - Kiné</t>
  </si>
  <si>
    <t>Beach volley - musculation</t>
  </si>
  <si>
    <t>Beach volley - équipement sportif</t>
  </si>
  <si>
    <t>Beach volley - équipement sportif - intervention participants (15 x50)</t>
  </si>
  <si>
    <t>Beach volley - participation championnat IZMIR 07/2021</t>
  </si>
  <si>
    <t>Beach volley - championnat Belge</t>
  </si>
  <si>
    <t>Beach volley - inscriptions tournois</t>
  </si>
  <si>
    <t>Beach volley - déplacement &amp; hébergement</t>
  </si>
  <si>
    <t>Beach volley - stage ADEPS &amp; tournoi Anderlecht</t>
  </si>
  <si>
    <t>Beach volley test covid &amp; médicaments/soins</t>
  </si>
  <si>
    <t>Beach volley _ organisation</t>
  </si>
  <si>
    <t xml:space="preserve">Beach volley _ participations </t>
  </si>
  <si>
    <t>Volley assis</t>
  </si>
  <si>
    <t>Formation de cadres</t>
  </si>
  <si>
    <t>Formation de cadres - cours - Marc Cloes</t>
  </si>
  <si>
    <t>Formation de cadres - cours - TB2</t>
  </si>
  <si>
    <t>Formation de cadres - VIMEO logement vidéo</t>
  </si>
  <si>
    <t>Formation de cadres - Moodle &amp; Abode</t>
  </si>
  <si>
    <t>Formation de cadres - Moventis - didactique proj école &amp; formation formateur</t>
  </si>
  <si>
    <t>Formation de cadres - Moventis - Modules digitalisation</t>
  </si>
  <si>
    <t>Formation de cadres - matériel</t>
  </si>
  <si>
    <t>Formation de cadres - cours - ADEPS homologation</t>
  </si>
  <si>
    <t>Formation de cadres - cours - LOCATION SALLE</t>
  </si>
  <si>
    <t>Formation de cadres - convention Caps</t>
  </si>
  <si>
    <t>Formation de cadres - cours - prest et déplacement</t>
  </si>
  <si>
    <t>Formation de cadres - clinics "Journée nationale" plan stratégique</t>
  </si>
  <si>
    <t>Formation de cadres - clinics Marc Cloes</t>
  </si>
  <si>
    <t>Autres dépenses formation de cadres - entraineurs FVWB</t>
  </si>
  <si>
    <t>AUTRES DEPENSES HORS SUBVENTIONS ADEPS</t>
  </si>
  <si>
    <t>Projet Lutte violence/beauté du sport</t>
  </si>
  <si>
    <t>Indemnités de formation:transfert</t>
  </si>
  <si>
    <t>Commission communication</t>
  </si>
  <si>
    <t>Commission technique</t>
  </si>
  <si>
    <t>Autres dépenses hors subv. ADEPS - Volley FUN CUP &amp; Liège</t>
  </si>
  <si>
    <t>Autres dépenses hors subv. ADEPS - Aide Frasnes et aide aux clubs LIGUE</t>
  </si>
  <si>
    <t>Autres dépenses hors subv. ADEPS : soutien club ligue SHN</t>
  </si>
  <si>
    <t>Autres dépenses hors subv. ADEPS - divers</t>
  </si>
  <si>
    <t>Autres dépenses hors subv. ADEPS - CFES  frais fonctionnement</t>
  </si>
  <si>
    <t>Autres dépenses hors subv. ADEPS - interprovinces</t>
  </si>
  <si>
    <t>Autres dépenses hors subv. ADEPS - support pédagogique</t>
  </si>
  <si>
    <t>Autres dépenses hors subv. ADEPS - FNJ &amp; FN coupes</t>
  </si>
  <si>
    <t>Autres dépenses hors subv. ADEPS - FFJ : arbitrage</t>
  </si>
  <si>
    <t>Autres dépenses hors subv. ADEPS - FFJ : organisation &amp; divers</t>
  </si>
  <si>
    <t>Autres dépenses hors subv. ADEPS - FFJ : divers</t>
  </si>
  <si>
    <t>Autres dépenses hors subv. ADEPS - FNJ : navette bus</t>
  </si>
  <si>
    <t>Autres dépenses hors subv. ADEPS - FNJ : arbitrage</t>
  </si>
  <si>
    <t>Autres dépenses hors subv. ADEPS - FNJ : organisation &amp; divers</t>
  </si>
  <si>
    <t>Autres dépenses hors subv. ADEPS - FNJ &amp; FFJ : T-SHIRT</t>
  </si>
  <si>
    <t>Autres dépenses hors subv. ADEPS - VV caisse compensation</t>
  </si>
  <si>
    <t>Autres dépenses hors subv. ADEPS - VB return inscription niv 1&amp;2</t>
  </si>
  <si>
    <t>Autres dépenses hors subv. ADEPS - VV coupe de Belgique &amp; Proms</t>
  </si>
  <si>
    <t xml:space="preserve">Autres dépenses hors subv. ADEPS </t>
  </si>
  <si>
    <t>Stage d'été</t>
  </si>
  <si>
    <t>Championnat FVWB</t>
  </si>
  <si>
    <t>Championnat FVWB  - caisse arbitrage</t>
  </si>
  <si>
    <t>Proxy volley</t>
  </si>
  <si>
    <t>Organisation grand événement international</t>
  </si>
  <si>
    <t>Organisation grand événement national</t>
  </si>
  <si>
    <t>Alliance francophone de Volley-ball &amp; COIB</t>
  </si>
  <si>
    <t>Personnes mises à la disposition association CFES</t>
  </si>
  <si>
    <t>Personnes mises à la disposition association Moventis - DT</t>
  </si>
  <si>
    <t>Personnes mises à la disposition association CPAS</t>
  </si>
  <si>
    <t>SERVICES ET BIENS DIVERS</t>
  </si>
  <si>
    <t>Prov. pour autres risques et charges - aides covid 3 clubs Niv 1</t>
  </si>
  <si>
    <t>Prov. risques et charges - aides covid affiliations saison 21-22</t>
  </si>
  <si>
    <t>Intérêts et frais afférents aux dettes - VW T-Roc 2023</t>
  </si>
  <si>
    <t>Charges financières</t>
  </si>
  <si>
    <t>Suppléments impôts dûs</t>
  </si>
  <si>
    <t>En termes de ressources (emplois), le budget a pris en compte les futures engagement :</t>
  </si>
  <si>
    <r>
      <t xml:space="preserve">Pour la cellule technique : 2 engagements mi-temps - </t>
    </r>
    <r>
      <rPr>
        <sz val="12"/>
        <color rgb="FFFF0000"/>
        <rFont val="Calibri"/>
        <family val="2"/>
        <scheme val="minor"/>
      </rPr>
      <t>JANVIER 2025</t>
    </r>
  </si>
  <si>
    <t xml:space="preserve">Pour la communication : 1 engagement mi-temps </t>
  </si>
  <si>
    <t>Aides ponctuelles avec des prestataires « ART17 »</t>
  </si>
  <si>
    <t>Projet d'engagement d’un(e) Assistant(e) DG / Projet Manager - temps partiel</t>
  </si>
  <si>
    <t>Ventilation des comptes - classe 7</t>
  </si>
  <si>
    <t>Assurances affiliés</t>
  </si>
  <si>
    <t>Projets fédéraux dans écoles</t>
  </si>
  <si>
    <t>Formation juges et arbitres</t>
  </si>
  <si>
    <t>Indemnité formation/transfert</t>
  </si>
  <si>
    <t>Cotisations annuelles des clubs</t>
  </si>
  <si>
    <t>Cotisations annuelles des clubs AIDE AUX CLUBS</t>
  </si>
  <si>
    <t>Cotisation clubs</t>
  </si>
  <si>
    <t>Cotisation des membres adhérents AIDE AUX CLUBS réalisées</t>
  </si>
  <si>
    <t>Cotisation des membres adhérents AIDE AUX CLUBS à venir</t>
  </si>
  <si>
    <t>Cotisation des membres adhérents +18 ans</t>
  </si>
  <si>
    <t>Cotisation des membres adhérents - 18 ans</t>
  </si>
  <si>
    <t>Cotisation des membres adhérents -10 ans</t>
  </si>
  <si>
    <t>Cotisation des membres adhérents - 8 ans</t>
  </si>
  <si>
    <t>Cotisation des membres adhérents administratifs</t>
  </si>
  <si>
    <t>Cotisation des membres adhérents loisirs</t>
  </si>
  <si>
    <t>Cotisation des membres adhérents soigneurs</t>
  </si>
  <si>
    <t>Subv. ADEPS sport haut niveau - avance</t>
  </si>
  <si>
    <t>Subv. ADEPS Formation cadres - avance</t>
  </si>
  <si>
    <t>Subv. ADEPS programme développement sportif</t>
  </si>
  <si>
    <t>Subv. ADEPS programme développement sportif IDHPS</t>
  </si>
  <si>
    <t>Subv.ADEPS volley@prison</t>
  </si>
  <si>
    <t>Subventions Villes et Communes</t>
  </si>
  <si>
    <t>Subventions des Provinces</t>
  </si>
  <si>
    <t>Subventions Région Bruxelles Capitale</t>
  </si>
  <si>
    <t>Subventions FOREM - Région Wallonne</t>
  </si>
  <si>
    <t>Subventions Féd. Wallonie-Bruxelles</t>
  </si>
  <si>
    <t>Mise à disposition locaux</t>
  </si>
  <si>
    <t>Produits non réccurents - exceprionnels</t>
  </si>
  <si>
    <t>Nombre de mois</t>
  </si>
  <si>
    <t>Mise à jour : 03/12/2024</t>
  </si>
  <si>
    <t>CHARGES</t>
  </si>
  <si>
    <t>ASSURANCE NON RELATIVE AU PERSONNEL</t>
  </si>
  <si>
    <t>AUTRES DEPENSES HORS SUBV. ADEPS</t>
  </si>
  <si>
    <t>_______________________</t>
  </si>
  <si>
    <t>PRODUITS</t>
  </si>
  <si>
    <t>VENTES DE BIENS PRODUITS PAR L'ASSOCIAT.</t>
  </si>
  <si>
    <t>-</t>
  </si>
  <si>
    <t xml:space="preserve">EQUILIBRE </t>
  </si>
  <si>
    <t>VOIR FAISABILITE</t>
  </si>
  <si>
    <t>FAISABILITE EN FONCTION DES SUBSIDES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</si>
</sst>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\ \+\ #,##0.00\ %_);\(#,##0.00\ %\)"/>
  </numFmts>
  <fonts count="5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Times New Roman"/>
      <family val="1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66FF33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28"/>
      <color rgb="FF0070C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4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u/>
      <sz val="16"/>
      <color theme="1"/>
      <name val="Calibri (Corps)"/>
    </font>
    <font>
      <b/>
      <i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6"/>
      <color theme="1"/>
      <name val="Calibri (Corps)"/>
    </font>
    <font>
      <sz val="11"/>
      <color rgb="FF0070C0"/>
      <name val="Calibri"/>
      <family val="2"/>
      <scheme val="minor"/>
    </font>
    <font>
      <b/>
      <sz val="11"/>
      <color rgb="FFFF0000"/>
      <name val="Calibri (Corps)"/>
    </font>
    <font>
      <sz val="11"/>
      <name val="Calibri (Corps)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darkUp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436">
    <xf numFmtId="0" fontId="0" fillId="0" borderId="0" xfId="0"/>
    <xf numFmtId="4" fontId="4" fillId="0" borderId="5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1" xfId="0" applyNumberFormat="1" applyFont="1" applyBorder="1"/>
    <xf numFmtId="4" fontId="4" fillId="0" borderId="0" xfId="0" applyNumberFormat="1" applyFont="1"/>
    <xf numFmtId="1" fontId="6" fillId="2" borderId="5" xfId="0" applyNumberFormat="1" applyFont="1" applyFill="1" applyBorder="1"/>
    <xf numFmtId="4" fontId="6" fillId="2" borderId="5" xfId="0" applyNumberFormat="1" applyFont="1" applyFill="1" applyBorder="1"/>
    <xf numFmtId="1" fontId="6" fillId="2" borderId="6" xfId="0" applyNumberFormat="1" applyFont="1" applyFill="1" applyBorder="1"/>
    <xf numFmtId="4" fontId="6" fillId="2" borderId="6" xfId="0" applyNumberFormat="1" applyFont="1" applyFill="1" applyBorder="1"/>
    <xf numFmtId="0" fontId="6" fillId="0" borderId="0" xfId="0" applyFont="1"/>
    <xf numFmtId="1" fontId="6" fillId="0" borderId="0" xfId="0" applyNumberFormat="1" applyFont="1"/>
    <xf numFmtId="0" fontId="6" fillId="2" borderId="0" xfId="0" applyFont="1" applyFill="1"/>
    <xf numFmtId="16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" fontId="6" fillId="2" borderId="0" xfId="0" applyNumberFormat="1" applyFont="1" applyFill="1"/>
    <xf numFmtId="4" fontId="6" fillId="0" borderId="5" xfId="0" applyNumberFormat="1" applyFont="1" applyBorder="1"/>
    <xf numFmtId="4" fontId="6" fillId="2" borderId="0" xfId="0" applyNumberFormat="1" applyFont="1" applyFill="1"/>
    <xf numFmtId="4" fontId="6" fillId="0" borderId="6" xfId="0" applyNumberFormat="1" applyFont="1" applyBorder="1"/>
    <xf numFmtId="0" fontId="2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vertical="center"/>
    </xf>
    <xf numFmtId="4" fontId="10" fillId="0" borderId="0" xfId="0" applyNumberFormat="1" applyFont="1"/>
    <xf numFmtId="1" fontId="3" fillId="2" borderId="0" xfId="0" applyNumberFormat="1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17" fontId="3" fillId="0" borderId="1" xfId="0" applyNumberFormat="1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left"/>
    </xf>
    <xf numFmtId="0" fontId="3" fillId="0" borderId="2" xfId="0" applyFont="1" applyBorder="1"/>
    <xf numFmtId="1" fontId="3" fillId="2" borderId="3" xfId="0" applyNumberFormat="1" applyFont="1" applyFill="1" applyBorder="1" applyAlignment="1">
      <alignment horizontal="center"/>
    </xf>
    <xf numFmtId="17" fontId="3" fillId="2" borderId="4" xfId="0" applyNumberFormat="1" applyFont="1" applyFill="1" applyBorder="1" applyAlignment="1">
      <alignment horizontal="center"/>
    </xf>
    <xf numFmtId="4" fontId="3" fillId="3" borderId="5" xfId="0" applyNumberFormat="1" applyFont="1" applyFill="1" applyBorder="1"/>
    <xf numFmtId="17" fontId="3" fillId="0" borderId="0" xfId="0" applyNumberFormat="1" applyFont="1" applyAlignment="1">
      <alignment horizontal="center"/>
    </xf>
    <xf numFmtId="4" fontId="3" fillId="3" borderId="6" xfId="0" applyNumberFormat="1" applyFont="1" applyFill="1" applyBorder="1"/>
    <xf numFmtId="4" fontId="3" fillId="2" borderId="0" xfId="0" applyNumberFormat="1" applyFont="1" applyFill="1"/>
    <xf numFmtId="4" fontId="3" fillId="3" borderId="8" xfId="0" applyNumberFormat="1" applyFont="1" applyFill="1" applyBorder="1"/>
    <xf numFmtId="4" fontId="3" fillId="3" borderId="1" xfId="0" applyNumberFormat="1" applyFont="1" applyFill="1" applyBorder="1"/>
    <xf numFmtId="1" fontId="3" fillId="2" borderId="2" xfId="0" applyNumberFormat="1" applyFont="1" applyFill="1" applyBorder="1" applyAlignment="1">
      <alignment horizontal="center"/>
    </xf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1" fontId="3" fillId="2" borderId="15" xfId="0" applyNumberFormat="1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/>
    </xf>
    <xf numFmtId="4" fontId="3" fillId="3" borderId="13" xfId="0" applyNumberFormat="1" applyFont="1" applyFill="1" applyBorder="1"/>
    <xf numFmtId="17" fontId="3" fillId="0" borderId="7" xfId="0" applyNumberFormat="1" applyFont="1" applyBorder="1" applyAlignment="1">
      <alignment horizontal="center"/>
    </xf>
    <xf numFmtId="17" fontId="3" fillId="0" borderId="17" xfId="0" applyNumberFormat="1" applyFont="1" applyBorder="1" applyAlignment="1">
      <alignment horizontal="center"/>
    </xf>
    <xf numFmtId="0" fontId="11" fillId="0" borderId="0" xfId="0" applyFont="1"/>
    <xf numFmtId="1" fontId="4" fillId="2" borderId="1" xfId="0" applyNumberFormat="1" applyFont="1" applyFill="1" applyBorder="1"/>
    <xf numFmtId="4" fontId="4" fillId="2" borderId="1" xfId="0" applyNumberFormat="1" applyFont="1" applyFill="1" applyBorder="1"/>
    <xf numFmtId="4" fontId="4" fillId="2" borderId="0" xfId="0" applyNumberFormat="1" applyFont="1" applyFill="1"/>
    <xf numFmtId="0" fontId="12" fillId="0" borderId="0" xfId="0" applyFont="1" applyAlignment="1">
      <alignment horizontal="center"/>
    </xf>
    <xf numFmtId="1" fontId="4" fillId="2" borderId="0" xfId="0" applyNumberFormat="1" applyFont="1" applyFill="1"/>
    <xf numFmtId="1" fontId="4" fillId="2" borderId="7" xfId="0" applyNumberFormat="1" applyFont="1" applyFill="1" applyBorder="1"/>
    <xf numFmtId="4" fontId="4" fillId="2" borderId="7" xfId="0" applyNumberFormat="1" applyFont="1" applyFill="1" applyBorder="1" applyAlignment="1">
      <alignment wrapText="1"/>
    </xf>
    <xf numFmtId="4" fontId="13" fillId="0" borderId="7" xfId="0" applyNumberFormat="1" applyFont="1" applyBorder="1"/>
    <xf numFmtId="4" fontId="13" fillId="2" borderId="0" xfId="0" applyNumberFormat="1" applyFont="1" applyFill="1"/>
    <xf numFmtId="4" fontId="13" fillId="0" borderId="1" xfId="0" applyNumberFormat="1" applyFont="1" applyBorder="1"/>
    <xf numFmtId="4" fontId="4" fillId="2" borderId="7" xfId="0" applyNumberFormat="1" applyFont="1" applyFill="1" applyBorder="1"/>
    <xf numFmtId="4" fontId="14" fillId="0" borderId="6" xfId="0" applyNumberFormat="1" applyFont="1" applyBorder="1"/>
    <xf numFmtId="4" fontId="14" fillId="2" borderId="0" xfId="0" applyNumberFormat="1" applyFont="1" applyFill="1"/>
    <xf numFmtId="4" fontId="4" fillId="4" borderId="7" xfId="0" applyNumberFormat="1" applyFont="1" applyFill="1" applyBorder="1"/>
    <xf numFmtId="1" fontId="4" fillId="2" borderId="7" xfId="0" applyNumberFormat="1" applyFont="1" applyFill="1" applyBorder="1" applyAlignment="1">
      <alignment horizontal="right"/>
    </xf>
    <xf numFmtId="4" fontId="13" fillId="2" borderId="1" xfId="0" applyNumberFormat="1" applyFont="1" applyFill="1" applyBorder="1"/>
    <xf numFmtId="4" fontId="14" fillId="0" borderId="5" xfId="0" applyNumberFormat="1" applyFont="1" applyBorder="1"/>
    <xf numFmtId="4" fontId="4" fillId="2" borderId="5" xfId="0" applyNumberFormat="1" applyFont="1" applyFill="1" applyBorder="1"/>
    <xf numFmtId="1" fontId="4" fillId="2" borderId="14" xfId="0" applyNumberFormat="1" applyFont="1" applyFill="1" applyBorder="1"/>
    <xf numFmtId="4" fontId="13" fillId="2" borderId="7" xfId="0" applyNumberFormat="1" applyFont="1" applyFill="1" applyBorder="1"/>
    <xf numFmtId="4" fontId="14" fillId="2" borderId="5" xfId="0" applyNumberFormat="1" applyFont="1" applyFill="1" applyBorder="1"/>
    <xf numFmtId="4" fontId="14" fillId="2" borderId="6" xfId="0" applyNumberFormat="1" applyFont="1" applyFill="1" applyBorder="1"/>
    <xf numFmtId="4" fontId="13" fillId="2" borderId="5" xfId="0" applyNumberFormat="1" applyFont="1" applyFill="1" applyBorder="1"/>
    <xf numFmtId="4" fontId="13" fillId="0" borderId="12" xfId="0" applyNumberFormat="1" applyFont="1" applyBorder="1"/>
    <xf numFmtId="4" fontId="13" fillId="0" borderId="13" xfId="0" applyNumberFormat="1" applyFont="1" applyBorder="1"/>
    <xf numFmtId="4" fontId="13" fillId="0" borderId="8" xfId="0" applyNumberFormat="1" applyFont="1" applyBorder="1"/>
    <xf numFmtId="4" fontId="4" fillId="4" borderId="1" xfId="0" applyNumberFormat="1" applyFont="1" applyFill="1" applyBorder="1"/>
    <xf numFmtId="4" fontId="13" fillId="0" borderId="5" xfId="0" applyNumberFormat="1" applyFont="1" applyBorder="1"/>
    <xf numFmtId="4" fontId="13" fillId="0" borderId="0" xfId="0" applyNumberFormat="1" applyFont="1"/>
    <xf numFmtId="0" fontId="15" fillId="0" borderId="0" xfId="0" applyFont="1" applyAlignment="1">
      <alignment horizontal="left" vertical="center" indent="4"/>
    </xf>
    <xf numFmtId="1" fontId="4" fillId="2" borderId="5" xfId="0" applyNumberFormat="1" applyFont="1" applyFill="1" applyBorder="1"/>
    <xf numFmtId="1" fontId="4" fillId="2" borderId="10" xfId="0" applyNumberFormat="1" applyFont="1" applyFill="1" applyBorder="1"/>
    <xf numFmtId="4" fontId="4" fillId="2" borderId="6" xfId="0" applyNumberFormat="1" applyFont="1" applyFill="1" applyBorder="1"/>
    <xf numFmtId="17" fontId="3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17" fontId="10" fillId="0" borderId="1" xfId="0" applyNumberFormat="1" applyFont="1" applyBorder="1" applyAlignment="1">
      <alignment horizontal="center" wrapText="1"/>
    </xf>
    <xf numFmtId="4" fontId="3" fillId="3" borderId="5" xfId="0" applyNumberFormat="1" applyFont="1" applyFill="1" applyBorder="1" applyAlignment="1">
      <alignment wrapText="1"/>
    </xf>
    <xf numFmtId="4" fontId="14" fillId="2" borderId="5" xfId="0" applyNumberFormat="1" applyFont="1" applyFill="1" applyBorder="1" applyAlignment="1">
      <alignment wrapText="1"/>
    </xf>
    <xf numFmtId="4" fontId="4" fillId="0" borderId="7" xfId="0" applyNumberFormat="1" applyFont="1" applyBorder="1" applyAlignment="1">
      <alignment wrapText="1"/>
    </xf>
    <xf numFmtId="4" fontId="4" fillId="2" borderId="0" xfId="0" applyNumberFormat="1" applyFont="1" applyFill="1" applyAlignment="1">
      <alignment wrapText="1"/>
    </xf>
    <xf numFmtId="4" fontId="3" fillId="3" borderId="1" xfId="0" applyNumberFormat="1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0" xfId="0" applyNumberFormat="1" applyFont="1" applyAlignment="1">
      <alignment wrapText="1"/>
    </xf>
    <xf numFmtId="4" fontId="14" fillId="0" borderId="5" xfId="0" applyNumberFormat="1" applyFont="1" applyBorder="1" applyAlignment="1">
      <alignment wrapText="1"/>
    </xf>
    <xf numFmtId="4" fontId="14" fillId="0" borderId="6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4" fontId="6" fillId="0" borderId="6" xfId="0" applyNumberFormat="1" applyFont="1" applyBorder="1" applyAlignment="1">
      <alignment wrapText="1"/>
    </xf>
    <xf numFmtId="4" fontId="3" fillId="3" borderId="6" xfId="0" applyNumberFormat="1" applyFont="1" applyFill="1" applyBorder="1" applyAlignment="1">
      <alignment wrapText="1"/>
    </xf>
    <xf numFmtId="4" fontId="4" fillId="4" borderId="7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4" fontId="3" fillId="3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17" fillId="2" borderId="0" xfId="0" applyFont="1" applyFill="1" applyAlignment="1">
      <alignment horizontal="right"/>
    </xf>
    <xf numFmtId="0" fontId="18" fillId="2" borderId="0" xfId="0" applyFont="1" applyFill="1"/>
    <xf numFmtId="17" fontId="19" fillId="2" borderId="0" xfId="0" applyNumberFormat="1" applyFont="1" applyFill="1" applyAlignment="1">
      <alignment horizontal="center"/>
    </xf>
    <xf numFmtId="10" fontId="20" fillId="2" borderId="0" xfId="0" applyNumberFormat="1" applyFont="1" applyFill="1"/>
    <xf numFmtId="4" fontId="21" fillId="2" borderId="0" xfId="0" applyNumberFormat="1" applyFont="1" applyFill="1"/>
    <xf numFmtId="4" fontId="17" fillId="2" borderId="0" xfId="0" applyNumberFormat="1" applyFont="1" applyFill="1"/>
    <xf numFmtId="4" fontId="18" fillId="2" borderId="0" xfId="0" applyNumberFormat="1" applyFont="1" applyFill="1"/>
    <xf numFmtId="10" fontId="22" fillId="2" borderId="0" xfId="0" applyNumberFormat="1" applyFont="1" applyFill="1"/>
    <xf numFmtId="4" fontId="4" fillId="0" borderId="9" xfId="0" applyNumberFormat="1" applyFont="1" applyBorder="1"/>
    <xf numFmtId="4" fontId="4" fillId="0" borderId="18" xfId="0" applyNumberFormat="1" applyFont="1" applyBorder="1"/>
    <xf numFmtId="1" fontId="1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1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1" fontId="4" fillId="0" borderId="1" xfId="0" applyNumberFormat="1" applyFont="1" applyBorder="1"/>
    <xf numFmtId="4" fontId="13" fillId="0" borderId="1" xfId="0" applyNumberFormat="1" applyFont="1" applyBorder="1" applyAlignment="1">
      <alignment horizontal="right"/>
    </xf>
    <xf numFmtId="1" fontId="4" fillId="0" borderId="0" xfId="0" applyNumberFormat="1" applyFont="1"/>
    <xf numFmtId="4" fontId="13" fillId="0" borderId="0" xfId="0" applyNumberFormat="1" applyFont="1" applyAlignment="1">
      <alignment horizontal="right"/>
    </xf>
    <xf numFmtId="4" fontId="12" fillId="0" borderId="5" xfId="0" applyNumberFormat="1" applyFont="1" applyBorder="1"/>
    <xf numFmtId="4" fontId="12" fillId="0" borderId="6" xfId="0" applyNumberFormat="1" applyFont="1" applyBorder="1"/>
    <xf numFmtId="1" fontId="4" fillId="0" borderId="14" xfId="0" applyNumberFormat="1" applyFont="1" applyBorder="1"/>
    <xf numFmtId="4" fontId="13" fillId="0" borderId="7" xfId="0" applyNumberFormat="1" applyFont="1" applyBorder="1" applyAlignment="1">
      <alignment horizontal="right"/>
    </xf>
    <xf numFmtId="1" fontId="4" fillId="0" borderId="5" xfId="0" applyNumberFormat="1" applyFont="1" applyBorder="1"/>
    <xf numFmtId="4" fontId="13" fillId="0" borderId="5" xfId="0" applyNumberFormat="1" applyFont="1" applyBorder="1" applyAlignment="1">
      <alignment horizontal="right"/>
    </xf>
    <xf numFmtId="4" fontId="13" fillId="2" borderId="5" xfId="0" applyNumberFormat="1" applyFont="1" applyFill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4" fontId="24" fillId="2" borderId="0" xfId="0" applyNumberFormat="1" applyFont="1" applyFill="1"/>
    <xf numFmtId="4" fontId="13" fillId="0" borderId="0" xfId="0" applyNumberFormat="1" applyFont="1" applyAlignment="1">
      <alignment horizontal="right" vertical="center"/>
    </xf>
    <xf numFmtId="1" fontId="4" fillId="0" borderId="5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3" xfId="0" applyNumberFormat="1" applyFont="1" applyBorder="1" applyAlignment="1">
      <alignment horizontal="center"/>
    </xf>
    <xf numFmtId="17" fontId="3" fillId="0" borderId="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7" fontId="3" fillId="0" borderId="16" xfId="0" applyNumberFormat="1" applyFont="1" applyBorder="1" applyAlignment="1">
      <alignment horizontal="center"/>
    </xf>
    <xf numFmtId="4" fontId="4" fillId="5" borderId="7" xfId="0" applyNumberFormat="1" applyFont="1" applyFill="1" applyBorder="1"/>
    <xf numFmtId="17" fontId="0" fillId="0" borderId="1" xfId="0" applyNumberFormat="1" applyBorder="1" applyAlignment="1">
      <alignment wrapText="1"/>
    </xf>
    <xf numFmtId="0" fontId="25" fillId="2" borderId="0" xfId="0" applyFont="1" applyFill="1" applyAlignment="1">
      <alignment horizontal="right"/>
    </xf>
    <xf numFmtId="0" fontId="26" fillId="2" borderId="0" xfId="0" applyFont="1" applyFill="1"/>
    <xf numFmtId="17" fontId="26" fillId="2" borderId="0" xfId="0" applyNumberFormat="1" applyFont="1" applyFill="1"/>
    <xf numFmtId="4" fontId="25" fillId="2" borderId="0" xfId="0" applyNumberFormat="1" applyFont="1" applyFill="1"/>
    <xf numFmtId="4" fontId="26" fillId="2" borderId="0" xfId="0" applyNumberFormat="1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27" fillId="0" borderId="0" xfId="0" applyFont="1"/>
    <xf numFmtId="0" fontId="3" fillId="0" borderId="1" xfId="0" applyFont="1" applyBorder="1"/>
    <xf numFmtId="17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10" fontId="9" fillId="3" borderId="1" xfId="0" applyNumberFormat="1" applyFont="1" applyFill="1" applyBorder="1"/>
    <xf numFmtId="0" fontId="10" fillId="0" borderId="0" xfId="0" applyFont="1" applyAlignment="1">
      <alignment horizontal="right"/>
    </xf>
    <xf numFmtId="0" fontId="3" fillId="0" borderId="5" xfId="0" applyFont="1" applyBorder="1"/>
    <xf numFmtId="0" fontId="2" fillId="0" borderId="1" xfId="0" applyFont="1" applyBorder="1" applyAlignment="1">
      <alignment horizontal="center"/>
    </xf>
    <xf numFmtId="10" fontId="9" fillId="3" borderId="1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3" fillId="0" borderId="0" xfId="0" applyFont="1"/>
    <xf numFmtId="0" fontId="10" fillId="0" borderId="0" xfId="0" applyFont="1"/>
    <xf numFmtId="4" fontId="4" fillId="0" borderId="8" xfId="0" applyNumberFormat="1" applyFont="1" applyBorder="1"/>
    <xf numFmtId="4" fontId="4" fillId="0" borderId="12" xfId="0" applyNumberFormat="1" applyFont="1" applyBorder="1"/>
    <xf numFmtId="4" fontId="4" fillId="0" borderId="13" xfId="0" applyNumberFormat="1" applyFont="1" applyBorder="1"/>
    <xf numFmtId="164" fontId="29" fillId="2" borderId="0" xfId="1" applyNumberFormat="1" applyFont="1" applyFill="1"/>
    <xf numFmtId="14" fontId="3" fillId="0" borderId="1" xfId="0" applyNumberFormat="1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3" borderId="1" xfId="1" applyNumberFormat="1" applyFont="1" applyFill="1" applyBorder="1"/>
    <xf numFmtId="164" fontId="29" fillId="7" borderId="1" xfId="0" applyNumberFormat="1" applyFont="1" applyFill="1" applyBorder="1"/>
    <xf numFmtId="4" fontId="13" fillId="0" borderId="5" xfId="0" applyNumberFormat="1" applyFont="1" applyBorder="1" applyAlignment="1">
      <alignment horizontal="right" vertical="center"/>
    </xf>
    <xf numFmtId="4" fontId="13" fillId="0" borderId="7" xfId="0" applyNumberFormat="1" applyFont="1" applyBorder="1" applyAlignment="1">
      <alignment horizontal="right" vertical="center"/>
    </xf>
    <xf numFmtId="4" fontId="13" fillId="2" borderId="7" xfId="0" applyNumberFormat="1" applyFont="1" applyFill="1" applyBorder="1" applyAlignment="1">
      <alignment horizontal="right" vertical="center"/>
    </xf>
    <xf numFmtId="164" fontId="29" fillId="7" borderId="0" xfId="0" applyNumberFormat="1" applyFont="1" applyFill="1"/>
    <xf numFmtId="17" fontId="30" fillId="0" borderId="1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4" fontId="33" fillId="2" borderId="0" xfId="0" applyNumberFormat="1" applyFont="1" applyFill="1"/>
    <xf numFmtId="1" fontId="32" fillId="2" borderId="0" xfId="0" applyNumberFormat="1" applyFont="1" applyFill="1"/>
    <xf numFmtId="4" fontId="34" fillId="2" borderId="0" xfId="0" applyNumberFormat="1" applyFont="1" applyFill="1"/>
    <xf numFmtId="10" fontId="35" fillId="2" borderId="0" xfId="0" applyNumberFormat="1" applyFont="1" applyFill="1"/>
    <xf numFmtId="4" fontId="10" fillId="2" borderId="0" xfId="0" applyNumberFormat="1" applyFont="1" applyFill="1"/>
    <xf numFmtId="4" fontId="14" fillId="4" borderId="6" xfId="0" applyNumberFormat="1" applyFont="1" applyFill="1" applyBorder="1"/>
    <xf numFmtId="4" fontId="13" fillId="9" borderId="1" xfId="0" applyNumberFormat="1" applyFont="1" applyFill="1" applyBorder="1"/>
    <xf numFmtId="4" fontId="13" fillId="9" borderId="6" xfId="0" applyNumberFormat="1" applyFont="1" applyFill="1" applyBorder="1"/>
    <xf numFmtId="17" fontId="10" fillId="0" borderId="1" xfId="0" applyNumberFormat="1" applyFont="1" applyBorder="1" applyAlignment="1">
      <alignment horizontal="center"/>
    </xf>
    <xf numFmtId="17" fontId="10" fillId="2" borderId="0" xfId="0" applyNumberFormat="1" applyFont="1" applyFill="1" applyAlignment="1">
      <alignment horizontal="center"/>
    </xf>
    <xf numFmtId="4" fontId="13" fillId="0" borderId="6" xfId="0" applyNumberFormat="1" applyFont="1" applyBorder="1"/>
    <xf numFmtId="4" fontId="14" fillId="4" borderId="5" xfId="0" applyNumberFormat="1" applyFont="1" applyFill="1" applyBorder="1"/>
    <xf numFmtId="4" fontId="13" fillId="4" borderId="1" xfId="0" applyNumberFormat="1" applyFont="1" applyFill="1" applyBorder="1"/>
    <xf numFmtId="1" fontId="4" fillId="2" borderId="6" xfId="0" applyNumberFormat="1" applyFont="1" applyFill="1" applyBorder="1"/>
    <xf numFmtId="4" fontId="3" fillId="3" borderId="7" xfId="0" applyNumberFormat="1" applyFont="1" applyFill="1" applyBorder="1"/>
    <xf numFmtId="4" fontId="36" fillId="0" borderId="6" xfId="0" applyNumberFormat="1" applyFont="1" applyBorder="1"/>
    <xf numFmtId="0" fontId="11" fillId="2" borderId="0" xfId="0" applyFont="1" applyFill="1"/>
    <xf numFmtId="4" fontId="30" fillId="3" borderId="11" xfId="0" applyNumberFormat="1" applyFont="1" applyFill="1" applyBorder="1"/>
    <xf numFmtId="4" fontId="30" fillId="3" borderId="1" xfId="0" applyNumberFormat="1" applyFont="1" applyFill="1" applyBorder="1"/>
    <xf numFmtId="4" fontId="30" fillId="3" borderId="8" xfId="0" applyNumberFormat="1" applyFont="1" applyFill="1" applyBorder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/>
    <xf numFmtId="4" fontId="5" fillId="2" borderId="0" xfId="0" applyNumberFormat="1" applyFont="1" applyFill="1"/>
    <xf numFmtId="4" fontId="37" fillId="2" borderId="0" xfId="0" applyNumberFormat="1" applyFont="1" applyFill="1"/>
    <xf numFmtId="4" fontId="5" fillId="0" borderId="0" xfId="0" applyNumberFormat="1" applyFont="1" applyAlignment="1">
      <alignment wrapText="1"/>
    </xf>
    <xf numFmtId="4" fontId="5" fillId="0" borderId="0" xfId="0" applyNumberFormat="1" applyFont="1"/>
    <xf numFmtId="164" fontId="38" fillId="7" borderId="0" xfId="0" applyNumberFormat="1" applyFont="1" applyFill="1"/>
    <xf numFmtId="4" fontId="6" fillId="0" borderId="0" xfId="0" applyNumberFormat="1" applyFont="1"/>
    <xf numFmtId="1" fontId="5" fillId="0" borderId="0" xfId="0" applyNumberFormat="1" applyFont="1"/>
    <xf numFmtId="4" fontId="37" fillId="0" borderId="0" xfId="0" applyNumberFormat="1" applyFont="1" applyAlignment="1">
      <alignment horizontal="right"/>
    </xf>
    <xf numFmtId="1" fontId="4" fillId="0" borderId="6" xfId="0" applyNumberFormat="1" applyFont="1" applyBorder="1"/>
    <xf numFmtId="0" fontId="39" fillId="0" borderId="0" xfId="0" applyFont="1"/>
    <xf numFmtId="0" fontId="5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5" fillId="0" borderId="0" xfId="0" applyFont="1"/>
    <xf numFmtId="0" fontId="46" fillId="0" borderId="0" xfId="0" applyFont="1"/>
    <xf numFmtId="0" fontId="43" fillId="0" borderId="10" xfId="0" applyFont="1" applyBorder="1"/>
    <xf numFmtId="0" fontId="6" fillId="0" borderId="13" xfId="0" applyFont="1" applyBorder="1"/>
    <xf numFmtId="0" fontId="43" fillId="0" borderId="14" xfId="0" applyFont="1" applyBorder="1"/>
    <xf numFmtId="0" fontId="43" fillId="11" borderId="9" xfId="0" applyFont="1" applyFill="1" applyBorder="1"/>
    <xf numFmtId="0" fontId="6" fillId="11" borderId="19" xfId="0" applyFont="1" applyFill="1" applyBorder="1"/>
    <xf numFmtId="0" fontId="6" fillId="11" borderId="12" xfId="0" applyFont="1" applyFill="1" applyBorder="1"/>
    <xf numFmtId="0" fontId="43" fillId="11" borderId="10" xfId="0" applyFont="1" applyFill="1" applyBorder="1"/>
    <xf numFmtId="0" fontId="6" fillId="11" borderId="0" xfId="0" applyFont="1" applyFill="1"/>
    <xf numFmtId="0" fontId="6" fillId="11" borderId="13" xfId="0" applyFont="1" applyFill="1" applyBorder="1"/>
    <xf numFmtId="0" fontId="43" fillId="11" borderId="14" xfId="0" applyFont="1" applyFill="1" applyBorder="1"/>
    <xf numFmtId="0" fontId="6" fillId="11" borderId="20" xfId="0" applyFont="1" applyFill="1" applyBorder="1"/>
    <xf numFmtId="0" fontId="6" fillId="11" borderId="8" xfId="0" applyFont="1" applyFill="1" applyBorder="1"/>
    <xf numFmtId="0" fontId="47" fillId="0" borderId="0" xfId="0" applyFont="1"/>
    <xf numFmtId="0" fontId="47" fillId="0" borderId="9" xfId="0" applyFont="1" applyBorder="1"/>
    <xf numFmtId="0" fontId="0" fillId="0" borderId="19" xfId="0" applyBorder="1"/>
    <xf numFmtId="0" fontId="0" fillId="0" borderId="12" xfId="0" applyBorder="1"/>
    <xf numFmtId="0" fontId="42" fillId="0" borderId="10" xfId="0" applyFont="1" applyBorder="1"/>
    <xf numFmtId="0" fontId="0" fillId="0" borderId="13" xfId="0" applyBorder="1"/>
    <xf numFmtId="0" fontId="0" fillId="0" borderId="10" xfId="0" applyBorder="1"/>
    <xf numFmtId="0" fontId="6" fillId="0" borderId="10" xfId="0" applyFont="1" applyBorder="1"/>
    <xf numFmtId="0" fontId="0" fillId="0" borderId="20" xfId="0" applyBorder="1"/>
    <xf numFmtId="0" fontId="0" fillId="0" borderId="8" xfId="0" applyBorder="1"/>
    <xf numFmtId="0" fontId="41" fillId="12" borderId="0" xfId="0" applyFont="1" applyFill="1"/>
    <xf numFmtId="0" fontId="0" fillId="12" borderId="0" xfId="0" applyFill="1"/>
    <xf numFmtId="0" fontId="45" fillId="8" borderId="9" xfId="0" applyFont="1" applyFill="1" applyBorder="1"/>
    <xf numFmtId="0" fontId="46" fillId="8" borderId="19" xfId="0" applyFont="1" applyFill="1" applyBorder="1"/>
    <xf numFmtId="0" fontId="46" fillId="8" borderId="12" xfId="0" applyFont="1" applyFill="1" applyBorder="1"/>
    <xf numFmtId="0" fontId="45" fillId="8" borderId="10" xfId="0" applyFont="1" applyFill="1" applyBorder="1"/>
    <xf numFmtId="0" fontId="46" fillId="8" borderId="0" xfId="0" applyFont="1" applyFill="1"/>
    <xf numFmtId="0" fontId="46" fillId="8" borderId="13" xfId="0" applyFont="1" applyFill="1" applyBorder="1"/>
    <xf numFmtId="0" fontId="45" fillId="8" borderId="14" xfId="0" applyFont="1" applyFill="1" applyBorder="1"/>
    <xf numFmtId="0" fontId="46" fillId="8" borderId="20" xfId="0" applyFont="1" applyFill="1" applyBorder="1"/>
    <xf numFmtId="0" fontId="46" fillId="8" borderId="8" xfId="0" applyFont="1" applyFill="1" applyBorder="1"/>
    <xf numFmtId="4" fontId="4" fillId="2" borderId="7" xfId="0" applyNumberFormat="1" applyFont="1" applyFill="1" applyBorder="1" applyAlignment="1">
      <alignment horizontal="left" vertical="top"/>
    </xf>
    <xf numFmtId="0" fontId="8" fillId="0" borderId="0" xfId="0" applyFont="1"/>
    <xf numFmtId="0" fontId="48" fillId="0" borderId="0" xfId="0" applyFont="1"/>
    <xf numFmtId="0" fontId="49" fillId="0" borderId="0" xfId="0" applyFont="1"/>
    <xf numFmtId="0" fontId="33" fillId="0" borderId="0" xfId="0" applyFont="1"/>
    <xf numFmtId="4" fontId="33" fillId="0" borderId="0" xfId="0" applyNumberFormat="1" applyFont="1"/>
    <xf numFmtId="4" fontId="33" fillId="0" borderId="0" xfId="0" applyNumberFormat="1" applyFont="1" applyAlignment="1">
      <alignment horizontal="right"/>
    </xf>
    <xf numFmtId="0" fontId="41" fillId="0" borderId="0" xfId="0" applyFont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51" fillId="0" borderId="6" xfId="0" applyNumberFormat="1" applyFont="1" applyBorder="1"/>
    <xf numFmtId="17" fontId="47" fillId="2" borderId="0" xfId="0" applyNumberFormat="1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0" fontId="51" fillId="0" borderId="0" xfId="0" applyFont="1"/>
    <xf numFmtId="4" fontId="4" fillId="0" borderId="7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2" borderId="5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0" fillId="0" borderId="0" xfId="0" applyNumberFormat="1"/>
    <xf numFmtId="0" fontId="11" fillId="0" borderId="0" xfId="0" applyFont="1" applyAlignment="1">
      <alignment wrapText="1"/>
    </xf>
    <xf numFmtId="0" fontId="0" fillId="5" borderId="0" xfId="0" applyFill="1"/>
    <xf numFmtId="17" fontId="13" fillId="0" borderId="1" xfId="0" applyNumberFormat="1" applyFont="1" applyBorder="1" applyAlignment="1">
      <alignment horizontal="center" wrapText="1"/>
    </xf>
    <xf numFmtId="17" fontId="13" fillId="2" borderId="0" xfId="0" applyNumberFormat="1" applyFont="1" applyFill="1" applyAlignment="1">
      <alignment horizontal="center"/>
    </xf>
    <xf numFmtId="17" fontId="30" fillId="0" borderId="5" xfId="0" applyNumberFormat="1" applyFont="1" applyBorder="1" applyAlignment="1">
      <alignment horizontal="center"/>
    </xf>
    <xf numFmtId="14" fontId="30" fillId="0" borderId="1" xfId="0" applyNumberFormat="1" applyFont="1" applyBorder="1" applyAlignment="1">
      <alignment horizontal="center"/>
    </xf>
    <xf numFmtId="14" fontId="30" fillId="0" borderId="6" xfId="0" applyNumberFormat="1" applyFont="1" applyBorder="1" applyAlignment="1">
      <alignment horizontal="center"/>
    </xf>
    <xf numFmtId="17" fontId="30" fillId="0" borderId="0" xfId="0" applyNumberFormat="1" applyFont="1" applyAlignment="1">
      <alignment horizontal="center"/>
    </xf>
    <xf numFmtId="0" fontId="30" fillId="0" borderId="2" xfId="0" applyFont="1" applyBorder="1"/>
    <xf numFmtId="4" fontId="30" fillId="3" borderId="5" xfId="0" applyNumberFormat="1" applyFont="1" applyFill="1" applyBorder="1"/>
    <xf numFmtId="4" fontId="30" fillId="3" borderId="5" xfId="0" applyNumberFormat="1" applyFont="1" applyFill="1" applyBorder="1" applyAlignment="1">
      <alignment wrapText="1"/>
    </xf>
    <xf numFmtId="10" fontId="54" fillId="2" borderId="0" xfId="0" applyNumberFormat="1" applyFont="1" applyFill="1"/>
    <xf numFmtId="4" fontId="30" fillId="3" borderId="6" xfId="0" applyNumberFormat="1" applyFont="1" applyFill="1" applyBorder="1"/>
    <xf numFmtId="4" fontId="30" fillId="3" borderId="1" xfId="0" applyNumberFormat="1" applyFont="1" applyFill="1" applyBorder="1" applyAlignment="1">
      <alignment wrapText="1"/>
    </xf>
    <xf numFmtId="4" fontId="30" fillId="3" borderId="13" xfId="0" applyNumberFormat="1" applyFont="1" applyFill="1" applyBorder="1"/>
    <xf numFmtId="4" fontId="30" fillId="3" borderId="12" xfId="0" applyNumberFormat="1" applyFont="1" applyFill="1" applyBorder="1"/>
    <xf numFmtId="0" fontId="30" fillId="0" borderId="2" xfId="0" applyFont="1" applyBorder="1" applyAlignment="1">
      <alignment wrapText="1"/>
    </xf>
    <xf numFmtId="4" fontId="30" fillId="3" borderId="7" xfId="0" applyNumberFormat="1" applyFont="1" applyFill="1" applyBorder="1"/>
    <xf numFmtId="4" fontId="30" fillId="3" borderId="6" xfId="0" applyNumberFormat="1" applyFont="1" applyFill="1" applyBorder="1" applyAlignment="1">
      <alignment wrapText="1"/>
    </xf>
    <xf numFmtId="4" fontId="30" fillId="3" borderId="7" xfId="0" applyNumberFormat="1" applyFont="1" applyFill="1" applyBorder="1" applyAlignment="1">
      <alignment wrapText="1"/>
    </xf>
    <xf numFmtId="17" fontId="30" fillId="0" borderId="17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4" fontId="3" fillId="3" borderId="0" xfId="0" applyNumberFormat="1" applyFont="1" applyFill="1"/>
    <xf numFmtId="16" fontId="0" fillId="0" borderId="0" xfId="0" applyNumberFormat="1"/>
    <xf numFmtId="16" fontId="0" fillId="0" borderId="0" xfId="0" applyNumberFormat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1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4" fontId="4" fillId="2" borderId="1" xfId="0" applyNumberFormat="1" applyFont="1" applyFill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30" fillId="0" borderId="0" xfId="0" applyFont="1" applyAlignment="1">
      <alignment wrapText="1"/>
    </xf>
    <xf numFmtId="4" fontId="30" fillId="0" borderId="0" xfId="0" applyNumberFormat="1" applyFont="1"/>
    <xf numFmtId="10" fontId="54" fillId="0" borderId="0" xfId="0" applyNumberFormat="1" applyFont="1"/>
    <xf numFmtId="0" fontId="30" fillId="0" borderId="0" xfId="0" applyFont="1"/>
    <xf numFmtId="0" fontId="55" fillId="0" borderId="0" xfId="0" applyFont="1"/>
    <xf numFmtId="0" fontId="55" fillId="0" borderId="0" xfId="0" applyFont="1" applyAlignment="1">
      <alignment wrapText="1"/>
    </xf>
    <xf numFmtId="0" fontId="55" fillId="2" borderId="0" xfId="0" applyFont="1" applyFill="1"/>
    <xf numFmtId="4" fontId="56" fillId="0" borderId="0" xfId="0" applyNumberFormat="1" applyFont="1"/>
    <xf numFmtId="0" fontId="56" fillId="0" borderId="0" xfId="0" applyFont="1"/>
    <xf numFmtId="17" fontId="40" fillId="0" borderId="0" xfId="0" applyNumberFormat="1" applyFont="1" applyAlignment="1">
      <alignment horizontal="center"/>
    </xf>
    <xf numFmtId="4" fontId="56" fillId="0" borderId="0" xfId="0" applyNumberFormat="1" applyFont="1" applyAlignment="1">
      <alignment horizontal="right" vertical="center"/>
    </xf>
    <xf numFmtId="14" fontId="47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" fontId="14" fillId="2" borderId="6" xfId="0" applyNumberFormat="1" applyFont="1" applyFill="1" applyBorder="1"/>
    <xf numFmtId="4" fontId="14" fillId="2" borderId="6" xfId="0" applyNumberFormat="1" applyFont="1" applyFill="1" applyBorder="1" applyAlignment="1">
      <alignment horizontal="right"/>
    </xf>
    <xf numFmtId="4" fontId="14" fillId="2" borderId="7" xfId="0" applyNumberFormat="1" applyFont="1" applyFill="1" applyBorder="1"/>
    <xf numFmtId="1" fontId="14" fillId="2" borderId="7" xfId="0" applyNumberFormat="1" applyFont="1" applyFill="1" applyBorder="1"/>
    <xf numFmtId="17" fontId="13" fillId="0" borderId="5" xfId="0" applyNumberFormat="1" applyFont="1" applyBorder="1" applyAlignment="1">
      <alignment horizontal="center" wrapText="1"/>
    </xf>
    <xf numFmtId="14" fontId="30" fillId="0" borderId="5" xfId="0" applyNumberFormat="1" applyFont="1" applyBorder="1" applyAlignment="1">
      <alignment horizontal="center"/>
    </xf>
    <xf numFmtId="17" fontId="13" fillId="0" borderId="11" xfId="0" applyNumberFormat="1" applyFont="1" applyBorder="1" applyAlignment="1">
      <alignment horizontal="center" wrapText="1"/>
    </xf>
    <xf numFmtId="14" fontId="30" fillId="0" borderId="11" xfId="0" applyNumberFormat="1" applyFont="1" applyBorder="1" applyAlignment="1">
      <alignment horizontal="center"/>
    </xf>
    <xf numFmtId="4" fontId="3" fillId="0" borderId="11" xfId="0" applyNumberFormat="1" applyFont="1" applyBorder="1"/>
    <xf numFmtId="0" fontId="6" fillId="0" borderId="30" xfId="0" applyFont="1" applyBorder="1"/>
    <xf numFmtId="4" fontId="6" fillId="0" borderId="31" xfId="0" applyNumberFormat="1" applyFont="1" applyBorder="1"/>
    <xf numFmtId="0" fontId="40" fillId="0" borderId="32" xfId="0" applyFont="1" applyBorder="1"/>
    <xf numFmtId="1" fontId="3" fillId="2" borderId="33" xfId="0" applyNumberFormat="1" applyFont="1" applyFill="1" applyBorder="1" applyAlignment="1">
      <alignment horizontal="center"/>
    </xf>
    <xf numFmtId="17" fontId="47" fillId="2" borderId="33" xfId="0" applyNumberFormat="1" applyFont="1" applyFill="1" applyBorder="1" applyAlignment="1">
      <alignment horizontal="center" vertical="center" wrapText="1"/>
    </xf>
    <xf numFmtId="14" fontId="47" fillId="2" borderId="34" xfId="0" applyNumberFormat="1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0" fontId="0" fillId="0" borderId="35" xfId="0" applyBorder="1"/>
    <xf numFmtId="17" fontId="10" fillId="0" borderId="5" xfId="0" applyNumberFormat="1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/>
    </xf>
    <xf numFmtId="4" fontId="13" fillId="2" borderId="6" xfId="0" applyNumberFormat="1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17" fontId="3" fillId="0" borderId="3" xfId="0" applyNumberFormat="1" applyFont="1" applyBorder="1" applyAlignment="1">
      <alignment horizontal="center"/>
    </xf>
    <xf numFmtId="4" fontId="3" fillId="3" borderId="3" xfId="0" applyNumberFormat="1" applyFont="1" applyFill="1" applyBorder="1"/>
    <xf numFmtId="10" fontId="22" fillId="2" borderId="3" xfId="0" applyNumberFormat="1" applyFont="1" applyFill="1" applyBorder="1"/>
    <xf numFmtId="0" fontId="0" fillId="0" borderId="3" xfId="0" applyBorder="1"/>
    <xf numFmtId="4" fontId="3" fillId="3" borderId="4" xfId="0" applyNumberFormat="1" applyFont="1" applyFill="1" applyBorder="1"/>
    <xf numFmtId="4" fontId="3" fillId="0" borderId="4" xfId="0" applyNumberFormat="1" applyFont="1" applyBorder="1"/>
    <xf numFmtId="17" fontId="0" fillId="0" borderId="5" xfId="0" applyNumberFormat="1" applyBorder="1" applyAlignment="1">
      <alignment wrapText="1"/>
    </xf>
    <xf numFmtId="1" fontId="4" fillId="0" borderId="7" xfId="0" applyNumberFormat="1" applyFont="1" applyBorder="1"/>
    <xf numFmtId="0" fontId="40" fillId="2" borderId="0" xfId="0" applyFont="1" applyFill="1"/>
    <xf numFmtId="4" fontId="40" fillId="0" borderId="0" xfId="0" applyNumberFormat="1" applyFont="1"/>
    <xf numFmtId="0" fontId="40" fillId="0" borderId="0" xfId="0" applyFont="1" applyAlignment="1">
      <alignment horizontal="right"/>
    </xf>
    <xf numFmtId="4" fontId="4" fillId="2" borderId="17" xfId="0" applyNumberFormat="1" applyFont="1" applyFill="1" applyBorder="1"/>
    <xf numFmtId="0" fontId="51" fillId="0" borderId="17" xfId="0" applyFont="1" applyBorder="1"/>
    <xf numFmtId="4" fontId="4" fillId="0" borderId="17" xfId="0" applyNumberFormat="1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/>
    <xf numFmtId="4" fontId="1" fillId="0" borderId="0" xfId="0" applyNumberFormat="1" applyFont="1"/>
    <xf numFmtId="1" fontId="1" fillId="2" borderId="7" xfId="0" applyNumberFormat="1" applyFont="1" applyFill="1" applyBorder="1"/>
    <xf numFmtId="4" fontId="1" fillId="2" borderId="7" xfId="0" applyNumberFormat="1" applyFont="1" applyFill="1" applyBorder="1"/>
    <xf numFmtId="4" fontId="1" fillId="2" borderId="6" xfId="0" applyNumberFormat="1" applyFont="1" applyFill="1" applyBorder="1"/>
    <xf numFmtId="1" fontId="1" fillId="2" borderId="1" xfId="0" applyNumberFormat="1" applyFont="1" applyFill="1" applyBorder="1"/>
    <xf numFmtId="4" fontId="1" fillId="2" borderId="1" xfId="0" applyNumberFormat="1" applyFont="1" applyFill="1" applyBorder="1"/>
    <xf numFmtId="1" fontId="1" fillId="2" borderId="5" xfId="0" applyNumberFormat="1" applyFont="1" applyFill="1" applyBorder="1"/>
    <xf numFmtId="4" fontId="1" fillId="2" borderId="5" xfId="0" applyNumberFormat="1" applyFont="1" applyFill="1" applyBorder="1"/>
    <xf numFmtId="1" fontId="1" fillId="2" borderId="6" xfId="0" applyNumberFormat="1" applyFont="1" applyFill="1" applyBorder="1"/>
    <xf numFmtId="1" fontId="1" fillId="2" borderId="10" xfId="0" applyNumberFormat="1" applyFont="1" applyFill="1" applyBorder="1"/>
    <xf numFmtId="4" fontId="1" fillId="2" borderId="13" xfId="0" applyNumberFormat="1" applyFont="1" applyFill="1" applyBorder="1"/>
    <xf numFmtId="1" fontId="1" fillId="2" borderId="5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left" vertical="center"/>
    </xf>
    <xf numFmtId="4" fontId="1" fillId="2" borderId="5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left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right" vertical="center"/>
    </xf>
    <xf numFmtId="1" fontId="1" fillId="2" borderId="9" xfId="0" applyNumberFormat="1" applyFont="1" applyFill="1" applyBorder="1"/>
    <xf numFmtId="4" fontId="1" fillId="2" borderId="12" xfId="0" applyNumberFormat="1" applyFont="1" applyFill="1" applyBorder="1"/>
    <xf numFmtId="4" fontId="1" fillId="2" borderId="6" xfId="0" applyNumberFormat="1" applyFont="1" applyFill="1" applyBorder="1" applyAlignment="1">
      <alignment wrapText="1"/>
    </xf>
    <xf numFmtId="1" fontId="1" fillId="0" borderId="9" xfId="0" applyNumberFormat="1" applyFont="1" applyBorder="1"/>
    <xf numFmtId="0" fontId="1" fillId="0" borderId="5" xfId="0" applyFont="1" applyBorder="1"/>
    <xf numFmtId="4" fontId="1" fillId="0" borderId="5" xfId="0" applyNumberFormat="1" applyFont="1" applyBorder="1"/>
    <xf numFmtId="1" fontId="1" fillId="0" borderId="10" xfId="0" applyNumberFormat="1" applyFont="1" applyBorder="1"/>
    <xf numFmtId="0" fontId="1" fillId="0" borderId="6" xfId="0" applyFont="1" applyBorder="1"/>
    <xf numFmtId="4" fontId="1" fillId="0" borderId="6" xfId="0" applyNumberFormat="1" applyFont="1" applyBorder="1"/>
    <xf numFmtId="1" fontId="1" fillId="0" borderId="6" xfId="0" applyNumberFormat="1" applyFont="1" applyBorder="1"/>
    <xf numFmtId="0" fontId="1" fillId="0" borderId="10" xfId="0" applyFont="1" applyBorder="1"/>
    <xf numFmtId="4" fontId="1" fillId="0" borderId="21" xfId="0" applyNumberFormat="1" applyFont="1" applyBorder="1"/>
    <xf numFmtId="4" fontId="1" fillId="2" borderId="0" xfId="0" applyNumberFormat="1" applyFont="1" applyFill="1"/>
    <xf numFmtId="0" fontId="1" fillId="0" borderId="17" xfId="0" applyFont="1" applyBorder="1"/>
    <xf numFmtId="1" fontId="1" fillId="0" borderId="0" xfId="0" applyNumberFormat="1" applyFont="1"/>
    <xf numFmtId="4" fontId="1" fillId="0" borderId="5" xfId="0" applyNumberFormat="1" applyFont="1" applyBorder="1" applyAlignment="1">
      <alignment wrapText="1"/>
    </xf>
    <xf numFmtId="4" fontId="1" fillId="0" borderId="6" xfId="0" applyNumberFormat="1" applyFont="1" applyBorder="1" applyAlignment="1">
      <alignment wrapText="1"/>
    </xf>
    <xf numFmtId="0" fontId="1" fillId="2" borderId="6" xfId="0" applyFont="1" applyFill="1" applyBorder="1"/>
    <xf numFmtId="0" fontId="1" fillId="0" borderId="6" xfId="0" applyFont="1" applyBorder="1" applyAlignment="1">
      <alignment wrapText="1"/>
    </xf>
    <xf numFmtId="0" fontId="1" fillId="0" borderId="0" xfId="0" applyFont="1" applyAlignment="1">
      <alignment vertical="center"/>
    </xf>
    <xf numFmtId="4" fontId="1" fillId="0" borderId="7" xfId="0" applyNumberFormat="1" applyFont="1" applyBorder="1" applyAlignment="1">
      <alignment wrapText="1"/>
    </xf>
    <xf numFmtId="4" fontId="1" fillId="0" borderId="7" xfId="0" applyNumberFormat="1" applyFont="1" applyBorder="1"/>
    <xf numFmtId="4" fontId="1" fillId="0" borderId="5" xfId="0" applyNumberFormat="1" applyFont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8" borderId="6" xfId="0" applyNumberFormat="1" applyFont="1" applyFill="1" applyBorder="1" applyAlignment="1">
      <alignment horizontal="center" vertical="center"/>
    </xf>
    <xf numFmtId="4" fontId="1" fillId="8" borderId="6" xfId="0" applyNumberFormat="1" applyFont="1" applyFill="1" applyBorder="1"/>
    <xf numFmtId="4" fontId="1" fillId="4" borderId="6" xfId="0" applyNumberFormat="1" applyFont="1" applyFill="1" applyBorder="1"/>
    <xf numFmtId="4" fontId="1" fillId="10" borderId="5" xfId="0" applyNumberFormat="1" applyFont="1" applyFill="1" applyBorder="1"/>
    <xf numFmtId="4" fontId="1" fillId="10" borderId="6" xfId="0" applyNumberFormat="1" applyFont="1" applyFill="1" applyBorder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/>
    <xf numFmtId="4" fontId="13" fillId="2" borderId="6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13" fillId="0" borderId="5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4" fontId="13" fillId="0" borderId="7" xfId="0" applyNumberFormat="1" applyFont="1" applyBorder="1" applyAlignment="1">
      <alignment horizontal="right" vertical="center"/>
    </xf>
    <xf numFmtId="4" fontId="13" fillId="2" borderId="5" xfId="0" applyNumberFormat="1" applyFont="1" applyFill="1" applyBorder="1" applyAlignment="1">
      <alignment horizontal="right" vertical="center"/>
    </xf>
    <xf numFmtId="4" fontId="13" fillId="2" borderId="7" xfId="0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center"/>
    </xf>
    <xf numFmtId="2" fontId="30" fillId="0" borderId="5" xfId="0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1322412</xdr:colOff>
      <xdr:row>2</xdr:row>
      <xdr:rowOff>127000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FBDE8C-0C9A-6246-9B88-8FF490F3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412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0</xdr:row>
      <xdr:rowOff>0</xdr:rowOff>
    </xdr:from>
    <xdr:to>
      <xdr:col>2</xdr:col>
      <xdr:colOff>1092200</xdr:colOff>
      <xdr:row>0</xdr:row>
      <xdr:rowOff>481283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E01E2B-D29D-6D40-93DC-86923B85E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965200" cy="481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606901</xdr:colOff>
      <xdr:row>0</xdr:row>
      <xdr:rowOff>609427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1A608D-4A80-F640-9941-C6653B858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4866" cy="6094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203200</xdr:colOff>
      <xdr:row>0</xdr:row>
      <xdr:rowOff>516344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5F55706-961D-0344-A0D2-EF5075053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0581" cy="516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736600</xdr:colOff>
      <xdr:row>7</xdr:row>
      <xdr:rowOff>64406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4B83A7-7A46-7AC9-8189-57BAAB141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0" y="0"/>
          <a:ext cx="736600" cy="1499506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0</xdr:row>
      <xdr:rowOff>0</xdr:rowOff>
    </xdr:from>
    <xdr:to>
      <xdr:col>6</xdr:col>
      <xdr:colOff>735286</xdr:colOff>
      <xdr:row>6</xdr:row>
      <xdr:rowOff>190500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CA8B3D3-481D-52B4-F6E7-75FA2086C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1100" y="0"/>
          <a:ext cx="3237186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203199</xdr:colOff>
      <xdr:row>7</xdr:row>
      <xdr:rowOff>12700</xdr:rowOff>
    </xdr:from>
    <xdr:to>
      <xdr:col>2</xdr:col>
      <xdr:colOff>722488</xdr:colOff>
      <xdr:row>9</xdr:row>
      <xdr:rowOff>12700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5CC7334-C5D1-2B03-AE9F-6419393D1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4199" y="1447800"/>
          <a:ext cx="519289" cy="406400"/>
        </a:xfrm>
        <a:prstGeom prst="rect">
          <a:avLst/>
        </a:prstGeom>
      </xdr:spPr>
    </xdr:pic>
    <xdr:clientData/>
  </xdr:twoCellAnchor>
  <xdr:twoCellAnchor editAs="oneCell">
    <xdr:from>
      <xdr:col>2</xdr:col>
      <xdr:colOff>804069</xdr:colOff>
      <xdr:row>6</xdr:row>
      <xdr:rowOff>190500</xdr:rowOff>
    </xdr:from>
    <xdr:to>
      <xdr:col>6</xdr:col>
      <xdr:colOff>381000</xdr:colOff>
      <xdr:row>8</xdr:row>
      <xdr:rowOff>177800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0AFE7EC-542D-53CF-05DE-1AD155252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55069" y="1422400"/>
          <a:ext cx="2878931" cy="393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759460</xdr:colOff>
      <xdr:row>9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5398B8-5715-3BC5-B52B-843732F5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61460" cy="1981200"/>
        </a:xfrm>
        <a:prstGeom prst="rect">
          <a:avLst/>
        </a:prstGeom>
      </xdr:spPr>
    </xdr:pic>
    <xdr:clientData/>
  </xdr:twoCellAnchor>
  <xdr:twoCellAnchor editAs="oneCell">
    <xdr:from>
      <xdr:col>4</xdr:col>
      <xdr:colOff>761999</xdr:colOff>
      <xdr:row>0</xdr:row>
      <xdr:rowOff>0</xdr:rowOff>
    </xdr:from>
    <xdr:to>
      <xdr:col>10</xdr:col>
      <xdr:colOff>574674</xdr:colOff>
      <xdr:row>9</xdr:row>
      <xdr:rowOff>177800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4A8AF66-AA1D-DCDD-E302-CB8E22DBC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3999" y="0"/>
          <a:ext cx="4765675" cy="2006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261143</xdr:rowOff>
    </xdr:from>
    <xdr:to>
      <xdr:col>3</xdr:col>
      <xdr:colOff>406400</xdr:colOff>
      <xdr:row>3</xdr:row>
      <xdr:rowOff>37768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A66809-3309-3D49-BC53-5B4CC657C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261143"/>
          <a:ext cx="1028700" cy="57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403225</xdr:colOff>
      <xdr:row>1</xdr:row>
      <xdr:rowOff>179532</xdr:rowOff>
    </xdr:from>
    <xdr:to>
      <xdr:col>3</xdr:col>
      <xdr:colOff>584200</xdr:colOff>
      <xdr:row>5</xdr:row>
      <xdr:rowOff>78920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475ABA-726E-F647-B4AE-A3AF04C3E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9525" y="370032"/>
          <a:ext cx="1133475" cy="6613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36</xdr:row>
      <xdr:rowOff>88900</xdr:rowOff>
    </xdr:from>
    <xdr:to>
      <xdr:col>1</xdr:col>
      <xdr:colOff>1409700</xdr:colOff>
      <xdr:row>38</xdr:row>
      <xdr:rowOff>158058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D1AB41-F772-4248-B2BA-128417EE0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6959600"/>
          <a:ext cx="1130300" cy="4628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dier\Desktop\2025-2026\FVWB%20-%20GT%20BG\Copie%20de%20Compte%20re&#769;sultat%20simplifie&#769;%20et%20budget%20re&#769;alite&#769;%2011%202024%20avec%20budg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tilation CLASSE 6"/>
      <sheetName val="CPTE RESULTAT 2024 BUDGET 2025"/>
      <sheetName val="Classes 6 scénario 1"/>
      <sheetName val="Classes 6 scénario 2"/>
      <sheetName val="Classes 6 scénario 3"/>
      <sheetName val="Ventilation CLASSE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mailto:Volley@prison" TargetMode="External"/><Relationship Id="rId1" Type="http://schemas.openxmlformats.org/officeDocument/2006/relationships/hyperlink" Target="mailto:Volley@school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DFAF-4DE6-984F-B928-00655333398C}">
  <dimension ref="B2:F25"/>
  <sheetViews>
    <sheetView workbookViewId="0">
      <selection activeCell="C16" sqref="C16"/>
    </sheetView>
  </sheetViews>
  <sheetFormatPr defaultColWidth="11" defaultRowHeight="15.75"/>
  <cols>
    <col min="1" max="1" width="17.875" bestFit="1" customWidth="1"/>
    <col min="2" max="2" width="3.125" customWidth="1"/>
    <col min="3" max="3" width="4.875" customWidth="1"/>
    <col min="4" max="4" width="31" customWidth="1"/>
    <col min="5" max="5" width="23" bestFit="1" customWidth="1"/>
  </cols>
  <sheetData>
    <row r="2" spans="2:5" s="258" customFormat="1" ht="24.95" customHeight="1">
      <c r="B2" s="259" t="s">
        <v>0</v>
      </c>
      <c r="E2" s="260">
        <v>880256.29</v>
      </c>
    </row>
    <row r="3" spans="2:5" ht="21">
      <c r="C3" s="256" t="s">
        <v>1</v>
      </c>
      <c r="D3" s="257"/>
    </row>
    <row r="4" spans="2:5" ht="21">
      <c r="C4" s="218" t="s">
        <v>2</v>
      </c>
    </row>
    <row r="5" spans="2:5" ht="21">
      <c r="C5" s="218" t="s">
        <v>3</v>
      </c>
    </row>
    <row r="6" spans="2:5" ht="11.1" customHeight="1">
      <c r="C6" s="218"/>
    </row>
    <row r="7" spans="2:5" ht="21">
      <c r="C7" s="218" t="s">
        <v>4</v>
      </c>
    </row>
    <row r="8" spans="2:5" ht="9" customHeight="1">
      <c r="C8" s="218"/>
    </row>
    <row r="9" spans="2:5" ht="21">
      <c r="C9" s="218" t="s">
        <v>5</v>
      </c>
    </row>
    <row r="10" spans="2:5" ht="21">
      <c r="C10" s="218" t="s">
        <v>6</v>
      </c>
    </row>
    <row r="11" spans="2:5" ht="21">
      <c r="C11" s="218" t="s">
        <v>7</v>
      </c>
    </row>
    <row r="13" spans="2:5" ht="31.5">
      <c r="B13" s="259" t="s">
        <v>8</v>
      </c>
      <c r="E13" s="260">
        <v>1013925.54</v>
      </c>
    </row>
    <row r="14" spans="2:5" ht="21">
      <c r="C14" s="218" t="s">
        <v>9</v>
      </c>
    </row>
    <row r="15" spans="2:5" ht="21">
      <c r="D15" s="218" t="s">
        <v>10</v>
      </c>
    </row>
    <row r="16" spans="2:5" ht="21">
      <c r="C16" s="218" t="s">
        <v>11</v>
      </c>
    </row>
    <row r="17" spans="2:6" ht="21">
      <c r="D17" s="218" t="s">
        <v>12</v>
      </c>
    </row>
    <row r="18" spans="2:6" ht="21">
      <c r="C18" s="218" t="s">
        <v>13</v>
      </c>
    </row>
    <row r="19" spans="2:6" ht="21">
      <c r="D19" s="218" t="s">
        <v>14</v>
      </c>
    </row>
    <row r="21" spans="2:6" s="259" customFormat="1" ht="31.5">
      <c r="B21" s="259" t="s">
        <v>15</v>
      </c>
      <c r="E21" s="261" t="s">
        <v>16</v>
      </c>
    </row>
    <row r="22" spans="2:6" ht="21">
      <c r="C22" s="218" t="s">
        <v>17</v>
      </c>
      <c r="F22" s="262" t="s">
        <v>18</v>
      </c>
    </row>
    <row r="23" spans="2:6" ht="21">
      <c r="C23" s="218" t="s">
        <v>19</v>
      </c>
      <c r="F23" s="262" t="s">
        <v>20</v>
      </c>
    </row>
    <row r="24" spans="2:6" ht="21">
      <c r="C24" s="218" t="s">
        <v>21</v>
      </c>
      <c r="F24" s="262" t="s">
        <v>22</v>
      </c>
    </row>
    <row r="25" spans="2:6" ht="21">
      <c r="C25" s="218" t="s">
        <v>23</v>
      </c>
      <c r="F25" s="262" t="s">
        <v>24</v>
      </c>
    </row>
  </sheetData>
  <pageMargins left="0.2" right="0.2" top="0.25" bottom="0.25" header="0.3" footer="0.3"/>
  <pageSetup paperSize="9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E2A8-859F-4642-957F-0ED2E09E3F2C}">
  <dimension ref="A1:F107"/>
  <sheetViews>
    <sheetView topLeftCell="A51" workbookViewId="0">
      <selection activeCell="I98" sqref="I97:I98"/>
    </sheetView>
  </sheetViews>
  <sheetFormatPr defaultColWidth="11" defaultRowHeight="15.75"/>
  <sheetData>
    <row r="1" spans="1:5">
      <c r="A1" s="46" t="s">
        <v>352</v>
      </c>
      <c r="D1">
        <f>SUM(C2:C105)</f>
        <v>11934.249999999993</v>
      </c>
    </row>
    <row r="2" spans="1:5">
      <c r="B2">
        <v>1</v>
      </c>
      <c r="C2">
        <f>58.08</f>
        <v>58.08</v>
      </c>
      <c r="D2" t="s">
        <v>353</v>
      </c>
      <c r="E2" t="s">
        <v>354</v>
      </c>
    </row>
    <row r="3" spans="1:5">
      <c r="B3">
        <v>2</v>
      </c>
      <c r="C3">
        <f>70.4</f>
        <v>70.400000000000006</v>
      </c>
      <c r="D3" t="s">
        <v>356</v>
      </c>
      <c r="E3" t="s">
        <v>354</v>
      </c>
    </row>
    <row r="4" spans="1:5">
      <c r="B4">
        <v>3</v>
      </c>
      <c r="C4">
        <f>44</f>
        <v>44</v>
      </c>
      <c r="D4" t="s">
        <v>357</v>
      </c>
      <c r="E4" t="s">
        <v>354</v>
      </c>
    </row>
    <row r="5" spans="1:5">
      <c r="B5">
        <v>4</v>
      </c>
      <c r="C5">
        <f>74.8</f>
        <v>74.8</v>
      </c>
      <c r="D5" t="s">
        <v>358</v>
      </c>
      <c r="E5" t="s">
        <v>354</v>
      </c>
    </row>
    <row r="6" spans="1:5">
      <c r="B6">
        <v>5</v>
      </c>
      <c r="C6">
        <f>180.52</f>
        <v>180.52</v>
      </c>
      <c r="D6" t="s">
        <v>359</v>
      </c>
      <c r="E6" t="s">
        <v>355</v>
      </c>
    </row>
    <row r="7" spans="1:5">
      <c r="B7">
        <v>6</v>
      </c>
      <c r="C7">
        <f>144.76</f>
        <v>144.76</v>
      </c>
      <c r="D7" t="s">
        <v>360</v>
      </c>
      <c r="E7" t="s">
        <v>355</v>
      </c>
    </row>
    <row r="8" spans="1:5">
      <c r="B8">
        <v>7</v>
      </c>
      <c r="C8">
        <f>69.73</f>
        <v>69.73</v>
      </c>
      <c r="D8" t="s">
        <v>356</v>
      </c>
      <c r="E8" t="s">
        <v>354</v>
      </c>
    </row>
    <row r="9" spans="1:5">
      <c r="B9">
        <v>8</v>
      </c>
      <c r="C9">
        <f>87.39</f>
        <v>87.39</v>
      </c>
      <c r="D9" t="s">
        <v>361</v>
      </c>
      <c r="E9" t="s">
        <v>355</v>
      </c>
    </row>
    <row r="10" spans="1:5">
      <c r="B10">
        <v>9</v>
      </c>
      <c r="C10">
        <f>79.97</f>
        <v>79.97</v>
      </c>
      <c r="D10" t="s">
        <v>353</v>
      </c>
      <c r="E10" t="s">
        <v>355</v>
      </c>
    </row>
    <row r="11" spans="1:5">
      <c r="B11">
        <v>10</v>
      </c>
      <c r="C11">
        <f>61.4</f>
        <v>61.4</v>
      </c>
      <c r="D11" t="s">
        <v>362</v>
      </c>
      <c r="E11" t="s">
        <v>355</v>
      </c>
    </row>
    <row r="12" spans="1:5">
      <c r="B12">
        <v>11</v>
      </c>
      <c r="C12">
        <f>263.4</f>
        <v>263.39999999999998</v>
      </c>
      <c r="D12" t="s">
        <v>363</v>
      </c>
      <c r="E12" t="s">
        <v>355</v>
      </c>
    </row>
    <row r="13" spans="1:5">
      <c r="B13">
        <v>12</v>
      </c>
      <c r="C13">
        <v>76.36</v>
      </c>
      <c r="D13" t="s">
        <v>364</v>
      </c>
      <c r="E13" t="s">
        <v>355</v>
      </c>
    </row>
    <row r="14" spans="1:5">
      <c r="B14">
        <v>13</v>
      </c>
      <c r="C14">
        <f>311.6</f>
        <v>311.60000000000002</v>
      </c>
      <c r="D14" t="s">
        <v>356</v>
      </c>
      <c r="E14" t="s">
        <v>355</v>
      </c>
    </row>
    <row r="15" spans="1:5">
      <c r="B15">
        <v>14</v>
      </c>
      <c r="C15">
        <f>53.48</f>
        <v>53.48</v>
      </c>
      <c r="D15" t="s">
        <v>365</v>
      </c>
      <c r="E15" t="s">
        <v>355</v>
      </c>
    </row>
    <row r="16" spans="1:5">
      <c r="B16">
        <v>15</v>
      </c>
      <c r="C16">
        <v>125.36</v>
      </c>
      <c r="D16" t="s">
        <v>366</v>
      </c>
      <c r="E16" t="s">
        <v>355</v>
      </c>
    </row>
    <row r="17" spans="2:5">
      <c r="B17">
        <v>16</v>
      </c>
      <c r="C17">
        <f>153.6</f>
        <v>153.6</v>
      </c>
      <c r="D17" t="s">
        <v>358</v>
      </c>
      <c r="E17" t="s">
        <v>355</v>
      </c>
    </row>
    <row r="18" spans="2:5">
      <c r="B18">
        <v>17</v>
      </c>
      <c r="C18">
        <f>52.07</f>
        <v>52.07</v>
      </c>
      <c r="D18" t="s">
        <v>356</v>
      </c>
      <c r="E18" t="s">
        <v>355</v>
      </c>
    </row>
    <row r="19" spans="2:5">
      <c r="B19">
        <v>18</v>
      </c>
      <c r="C19">
        <f>51.19</f>
        <v>51.19</v>
      </c>
      <c r="D19" t="s">
        <v>361</v>
      </c>
      <c r="E19" t="s">
        <v>355</v>
      </c>
    </row>
    <row r="20" spans="2:5">
      <c r="B20">
        <v>19</v>
      </c>
      <c r="C20">
        <f>95.34</f>
        <v>95.34</v>
      </c>
      <c r="D20" t="s">
        <v>359</v>
      </c>
      <c r="E20" t="s">
        <v>355</v>
      </c>
    </row>
    <row r="21" spans="2:5">
      <c r="B21">
        <v>20</v>
      </c>
      <c r="C21">
        <f>58.28</f>
        <v>58.28</v>
      </c>
      <c r="D21" t="s">
        <v>353</v>
      </c>
      <c r="E21" t="s">
        <v>354</v>
      </c>
    </row>
    <row r="22" spans="2:5">
      <c r="B22">
        <v>21</v>
      </c>
      <c r="C22">
        <v>81.239999999999995</v>
      </c>
      <c r="D22" t="s">
        <v>367</v>
      </c>
      <c r="E22" t="s">
        <v>354</v>
      </c>
    </row>
    <row r="23" spans="2:5">
      <c r="B23">
        <v>22</v>
      </c>
      <c r="C23">
        <f>44.15</f>
        <v>44.15</v>
      </c>
      <c r="D23" t="s">
        <v>357</v>
      </c>
      <c r="E23" t="s">
        <v>354</v>
      </c>
    </row>
    <row r="24" spans="2:5">
      <c r="B24">
        <v>23</v>
      </c>
      <c r="C24">
        <f>70.64</f>
        <v>70.64</v>
      </c>
      <c r="D24" t="s">
        <v>356</v>
      </c>
      <c r="E24" t="s">
        <v>354</v>
      </c>
    </row>
    <row r="25" spans="2:5">
      <c r="B25">
        <v>24</v>
      </c>
      <c r="C25">
        <f>177.43</f>
        <v>177.43</v>
      </c>
      <c r="D25" t="s">
        <v>359</v>
      </c>
      <c r="E25" t="s">
        <v>355</v>
      </c>
    </row>
    <row r="26" spans="2:5">
      <c r="B26">
        <v>25</v>
      </c>
      <c r="C26">
        <f>172.1</f>
        <v>172.1</v>
      </c>
      <c r="D26" t="s">
        <v>356</v>
      </c>
      <c r="E26" t="s">
        <v>355</v>
      </c>
    </row>
    <row r="27" spans="2:5">
      <c r="B27">
        <v>26</v>
      </c>
      <c r="C27">
        <f>127.1</f>
        <v>127.1</v>
      </c>
      <c r="D27" t="s">
        <v>360</v>
      </c>
      <c r="E27" t="s">
        <v>355</v>
      </c>
    </row>
    <row r="28" spans="2:5">
      <c r="B28">
        <v>27</v>
      </c>
      <c r="C28">
        <f>118.3</f>
        <v>118.3</v>
      </c>
      <c r="D28" t="s">
        <v>358</v>
      </c>
      <c r="E28" t="s">
        <v>355</v>
      </c>
    </row>
    <row r="29" spans="2:5">
      <c r="B29">
        <v>28</v>
      </c>
      <c r="C29">
        <v>139.68</v>
      </c>
      <c r="D29" t="s">
        <v>362</v>
      </c>
      <c r="E29" t="s">
        <v>355</v>
      </c>
    </row>
    <row r="30" spans="2:5">
      <c r="B30">
        <v>29</v>
      </c>
      <c r="C30">
        <v>77.08</v>
      </c>
      <c r="D30" t="s">
        <v>363</v>
      </c>
      <c r="E30" t="s">
        <v>355</v>
      </c>
    </row>
    <row r="31" spans="2:5">
      <c r="B31">
        <v>30</v>
      </c>
      <c r="C31">
        <f>41.44</f>
        <v>41.44</v>
      </c>
      <c r="D31" t="s">
        <v>353</v>
      </c>
      <c r="E31" t="s">
        <v>355</v>
      </c>
    </row>
    <row r="32" spans="2:5">
      <c r="B32">
        <v>31</v>
      </c>
      <c r="C32">
        <f>360.2</f>
        <v>360.2</v>
      </c>
      <c r="D32" t="s">
        <v>356</v>
      </c>
      <c r="E32" t="s">
        <v>355</v>
      </c>
    </row>
    <row r="33" spans="2:6">
      <c r="B33">
        <v>32</v>
      </c>
      <c r="C33">
        <f>64.04</f>
        <v>64.040000000000006</v>
      </c>
      <c r="D33" t="s">
        <v>365</v>
      </c>
      <c r="E33" t="s">
        <v>355</v>
      </c>
    </row>
    <row r="34" spans="2:6">
      <c r="B34">
        <v>33</v>
      </c>
      <c r="C34">
        <v>19.5</v>
      </c>
      <c r="D34" t="s">
        <v>368</v>
      </c>
      <c r="E34" t="s">
        <v>369</v>
      </c>
    </row>
    <row r="35" spans="2:6">
      <c r="B35">
        <v>34</v>
      </c>
      <c r="C35">
        <v>86.48</v>
      </c>
      <c r="D35" t="s">
        <v>370</v>
      </c>
      <c r="E35" t="s">
        <v>355</v>
      </c>
    </row>
    <row r="36" spans="2:6">
      <c r="B36">
        <v>35</v>
      </c>
      <c r="C36">
        <v>127.98</v>
      </c>
      <c r="D36" t="s">
        <v>371</v>
      </c>
      <c r="E36" t="s">
        <v>355</v>
      </c>
    </row>
    <row r="37" spans="2:6">
      <c r="B37">
        <v>36</v>
      </c>
      <c r="C37">
        <v>104.92</v>
      </c>
      <c r="D37" t="s">
        <v>372</v>
      </c>
      <c r="E37" t="s">
        <v>355</v>
      </c>
    </row>
    <row r="38" spans="2:6">
      <c r="B38">
        <v>37</v>
      </c>
      <c r="C38">
        <v>95.24</v>
      </c>
      <c r="D38" t="s">
        <v>373</v>
      </c>
      <c r="E38" t="s">
        <v>355</v>
      </c>
    </row>
    <row r="39" spans="2:6">
      <c r="B39">
        <v>38</v>
      </c>
      <c r="C39">
        <v>127.98</v>
      </c>
      <c r="D39" t="s">
        <v>374</v>
      </c>
      <c r="E39" t="s">
        <v>355</v>
      </c>
    </row>
    <row r="40" spans="2:6">
      <c r="B40">
        <v>39</v>
      </c>
      <c r="C40">
        <f>127.98</f>
        <v>127.98</v>
      </c>
      <c r="D40" t="s">
        <v>367</v>
      </c>
      <c r="E40" t="s">
        <v>355</v>
      </c>
    </row>
    <row r="41" spans="2:6">
      <c r="B41">
        <v>40</v>
      </c>
      <c r="C41" s="275">
        <v>186.26</v>
      </c>
      <c r="D41" s="275" t="s">
        <v>375</v>
      </c>
      <c r="E41" s="275" t="s">
        <v>354</v>
      </c>
      <c r="F41" s="275"/>
    </row>
    <row r="42" spans="2:6">
      <c r="B42">
        <v>41</v>
      </c>
      <c r="C42" s="275">
        <v>133.28</v>
      </c>
      <c r="D42" s="275" t="s">
        <v>376</v>
      </c>
      <c r="E42" s="275" t="s">
        <v>354</v>
      </c>
      <c r="F42" s="275"/>
    </row>
    <row r="43" spans="2:6">
      <c r="B43">
        <v>42</v>
      </c>
      <c r="C43" s="275">
        <v>109.44</v>
      </c>
      <c r="D43" s="275" t="s">
        <v>377</v>
      </c>
      <c r="E43" s="275" t="s">
        <v>354</v>
      </c>
      <c r="F43" s="275"/>
    </row>
    <row r="44" spans="2:6">
      <c r="B44">
        <v>43</v>
      </c>
      <c r="C44" s="275">
        <v>106.79</v>
      </c>
      <c r="D44" s="275" t="s">
        <v>378</v>
      </c>
      <c r="E44" s="275" t="s">
        <v>354</v>
      </c>
      <c r="F44" s="275"/>
    </row>
    <row r="45" spans="2:6">
      <c r="B45">
        <v>44</v>
      </c>
      <c r="C45" s="275">
        <v>31.79</v>
      </c>
      <c r="D45" s="275" t="s">
        <v>379</v>
      </c>
      <c r="E45" s="275" t="s">
        <v>354</v>
      </c>
      <c r="F45" s="275"/>
    </row>
    <row r="46" spans="2:6">
      <c r="B46">
        <v>45</v>
      </c>
      <c r="C46" s="275">
        <v>38.85</v>
      </c>
      <c r="D46" s="275" t="s">
        <v>380</v>
      </c>
      <c r="E46" s="275" t="s">
        <v>354</v>
      </c>
      <c r="F46" s="275"/>
    </row>
    <row r="47" spans="2:6">
      <c r="B47">
        <v>46</v>
      </c>
      <c r="C47" s="275">
        <f>180.96</f>
        <v>180.96</v>
      </c>
      <c r="D47" s="275" t="s">
        <v>356</v>
      </c>
      <c r="E47" s="275" t="s">
        <v>354</v>
      </c>
      <c r="F47" s="275"/>
    </row>
    <row r="48" spans="2:6">
      <c r="B48">
        <v>47</v>
      </c>
      <c r="C48" s="275">
        <f>75</f>
        <v>75</v>
      </c>
      <c r="D48" s="275" t="s">
        <v>368</v>
      </c>
      <c r="E48" s="275" t="s">
        <v>354</v>
      </c>
      <c r="F48" s="275"/>
    </row>
    <row r="49" spans="2:6">
      <c r="B49">
        <v>48</v>
      </c>
      <c r="C49" s="275">
        <v>92.66</v>
      </c>
      <c r="D49" s="275" t="s">
        <v>390</v>
      </c>
      <c r="E49" s="275" t="s">
        <v>354</v>
      </c>
    </row>
    <row r="50" spans="2:6">
      <c r="B50">
        <v>49</v>
      </c>
      <c r="C50" s="275">
        <v>200.39</v>
      </c>
      <c r="D50" s="275" t="s">
        <v>358</v>
      </c>
      <c r="E50" s="275" t="s">
        <v>354</v>
      </c>
      <c r="F50" s="275"/>
    </row>
    <row r="51" spans="2:6">
      <c r="B51">
        <v>50</v>
      </c>
      <c r="C51" s="275">
        <v>105.02</v>
      </c>
      <c r="D51" s="275" t="s">
        <v>360</v>
      </c>
      <c r="E51" s="275" t="s">
        <v>354</v>
      </c>
      <c r="F51" s="275"/>
    </row>
    <row r="52" spans="2:6">
      <c r="B52">
        <v>51</v>
      </c>
      <c r="C52" s="275">
        <v>128.86000000000001</v>
      </c>
      <c r="D52" s="275" t="s">
        <v>401</v>
      </c>
      <c r="E52" s="275" t="s">
        <v>354</v>
      </c>
      <c r="F52" s="275"/>
    </row>
    <row r="53" spans="2:6">
      <c r="B53">
        <v>52</v>
      </c>
      <c r="C53" s="275">
        <v>139.46</v>
      </c>
      <c r="D53" s="275" t="s">
        <v>391</v>
      </c>
      <c r="E53" s="275" t="s">
        <v>354</v>
      </c>
      <c r="F53" s="275"/>
    </row>
    <row r="54" spans="2:6">
      <c r="B54">
        <v>53</v>
      </c>
      <c r="C54" s="275">
        <v>151.82</v>
      </c>
      <c r="D54" s="275" t="s">
        <v>378</v>
      </c>
      <c r="E54" s="275" t="s">
        <v>354</v>
      </c>
      <c r="F54" s="275"/>
    </row>
    <row r="55" spans="2:6">
      <c r="B55">
        <v>54</v>
      </c>
      <c r="C55" s="275">
        <v>112.8</v>
      </c>
      <c r="D55" s="275" t="s">
        <v>402</v>
      </c>
      <c r="E55" s="275" t="s">
        <v>354</v>
      </c>
      <c r="F55" s="275"/>
    </row>
    <row r="56" spans="2:6">
      <c r="B56">
        <v>55</v>
      </c>
      <c r="C56" s="275">
        <v>112</v>
      </c>
      <c r="D56" s="275" t="s">
        <v>403</v>
      </c>
      <c r="E56" s="275" t="s">
        <v>354</v>
      </c>
      <c r="F56" s="275"/>
    </row>
    <row r="57" spans="2:6">
      <c r="B57">
        <v>56</v>
      </c>
      <c r="C57" s="275">
        <f>75</f>
        <v>75</v>
      </c>
      <c r="D57" s="275" t="s">
        <v>368</v>
      </c>
      <c r="E57" s="275" t="s">
        <v>354</v>
      </c>
      <c r="F57" s="275"/>
    </row>
    <row r="58" spans="2:6">
      <c r="B58">
        <v>57</v>
      </c>
      <c r="C58" s="275">
        <v>18.55</v>
      </c>
      <c r="D58" s="275" t="s">
        <v>381</v>
      </c>
      <c r="E58" s="275" t="s">
        <v>354</v>
      </c>
      <c r="F58" s="275"/>
    </row>
    <row r="59" spans="2:6">
      <c r="B59">
        <v>58</v>
      </c>
      <c r="C59" s="275">
        <v>101.2</v>
      </c>
      <c r="D59" s="275" t="s">
        <v>382</v>
      </c>
      <c r="E59" s="275" t="s">
        <v>354</v>
      </c>
      <c r="F59" s="275"/>
    </row>
    <row r="60" spans="2:6">
      <c r="B60">
        <v>59</v>
      </c>
      <c r="C60" s="275">
        <v>50.33</v>
      </c>
      <c r="D60" s="275" t="s">
        <v>383</v>
      </c>
      <c r="E60" s="275" t="s">
        <v>354</v>
      </c>
      <c r="F60" s="275"/>
    </row>
    <row r="61" spans="2:6">
      <c r="B61">
        <v>60</v>
      </c>
      <c r="C61" s="275">
        <v>24.75</v>
      </c>
      <c r="D61" s="275" t="s">
        <v>384</v>
      </c>
      <c r="E61" s="275" t="s">
        <v>354</v>
      </c>
      <c r="F61" s="275"/>
    </row>
    <row r="62" spans="2:6">
      <c r="B62">
        <v>61</v>
      </c>
      <c r="C62" s="275">
        <f>106.8</f>
        <v>106.8</v>
      </c>
      <c r="D62" s="275" t="s">
        <v>356</v>
      </c>
      <c r="E62" s="275" t="s">
        <v>354</v>
      </c>
      <c r="F62" s="275"/>
    </row>
    <row r="63" spans="2:6">
      <c r="B63">
        <v>62</v>
      </c>
      <c r="C63" s="275">
        <v>84.7</v>
      </c>
      <c r="D63" s="275" t="s">
        <v>368</v>
      </c>
      <c r="E63" s="275" t="s">
        <v>354</v>
      </c>
      <c r="F63" s="275"/>
    </row>
    <row r="64" spans="2:6">
      <c r="B64">
        <v>63</v>
      </c>
      <c r="C64" s="275">
        <v>109.44</v>
      </c>
      <c r="D64" s="275" t="s">
        <v>404</v>
      </c>
      <c r="E64" s="275" t="s">
        <v>354</v>
      </c>
      <c r="F64" s="275"/>
    </row>
    <row r="65" spans="2:6">
      <c r="B65">
        <v>64</v>
      </c>
      <c r="C65" s="275">
        <v>216.28</v>
      </c>
      <c r="D65" s="275" t="s">
        <v>385</v>
      </c>
      <c r="E65" s="275" t="s">
        <v>354</v>
      </c>
      <c r="F65" s="275"/>
    </row>
    <row r="66" spans="2:6">
      <c r="B66">
        <v>65</v>
      </c>
      <c r="C66" s="275">
        <v>216.28</v>
      </c>
      <c r="D66" s="275" t="s">
        <v>378</v>
      </c>
      <c r="E66" s="275" t="s">
        <v>354</v>
      </c>
      <c r="F66" s="275"/>
    </row>
    <row r="67" spans="2:6">
      <c r="B67">
        <v>66</v>
      </c>
      <c r="C67" s="275">
        <v>105.91</v>
      </c>
      <c r="D67" s="275" t="s">
        <v>386</v>
      </c>
      <c r="E67" s="275" t="s">
        <v>354</v>
      </c>
      <c r="F67" s="275"/>
    </row>
    <row r="68" spans="2:6">
      <c r="B68">
        <v>67</v>
      </c>
      <c r="C68" s="275">
        <f>75</f>
        <v>75</v>
      </c>
      <c r="D68" s="275" t="s">
        <v>368</v>
      </c>
      <c r="E68" s="275" t="s">
        <v>354</v>
      </c>
      <c r="F68" s="275"/>
    </row>
    <row r="69" spans="2:6">
      <c r="B69">
        <v>68</v>
      </c>
      <c r="C69" s="275">
        <v>132.4</v>
      </c>
      <c r="D69" s="275" t="s">
        <v>387</v>
      </c>
      <c r="E69" s="275" t="s">
        <v>354</v>
      </c>
      <c r="F69" s="275"/>
    </row>
    <row r="70" spans="2:6">
      <c r="B70">
        <v>69</v>
      </c>
      <c r="C70" s="275">
        <v>134.6</v>
      </c>
      <c r="D70" s="275" t="s">
        <v>388</v>
      </c>
      <c r="E70" s="275" t="s">
        <v>354</v>
      </c>
      <c r="F70" s="275"/>
    </row>
    <row r="71" spans="2:6">
      <c r="B71">
        <v>70</v>
      </c>
      <c r="C71" s="275">
        <v>140.34</v>
      </c>
      <c r="D71" s="275" t="s">
        <v>405</v>
      </c>
      <c r="E71" s="275" t="s">
        <v>354</v>
      </c>
      <c r="F71" s="275"/>
    </row>
    <row r="72" spans="2:6">
      <c r="B72">
        <v>71</v>
      </c>
      <c r="C72" s="275">
        <v>81.180000000000007</v>
      </c>
      <c r="D72" s="275" t="s">
        <v>389</v>
      </c>
      <c r="E72" s="275" t="s">
        <v>354</v>
      </c>
      <c r="F72" s="275"/>
    </row>
    <row r="73" spans="2:6">
      <c r="B73">
        <v>72</v>
      </c>
      <c r="C73" s="275">
        <v>92.66</v>
      </c>
      <c r="D73" s="275" t="s">
        <v>390</v>
      </c>
      <c r="E73" s="275" t="s">
        <v>354</v>
      </c>
      <c r="F73" s="275"/>
    </row>
    <row r="74" spans="2:6">
      <c r="B74">
        <v>73</v>
      </c>
      <c r="C74" s="275">
        <v>137.69</v>
      </c>
      <c r="D74" s="275" t="s">
        <v>391</v>
      </c>
      <c r="E74" s="275" t="s">
        <v>354</v>
      </c>
      <c r="F74" s="275"/>
    </row>
    <row r="75" spans="2:6">
      <c r="B75">
        <v>74</v>
      </c>
      <c r="C75" s="275">
        <v>89.4</v>
      </c>
      <c r="D75" s="275" t="s">
        <v>392</v>
      </c>
      <c r="E75" s="275" t="s">
        <v>354</v>
      </c>
      <c r="F75" s="275"/>
    </row>
    <row r="76" spans="2:6">
      <c r="B76">
        <v>75</v>
      </c>
      <c r="C76" s="275">
        <v>82</v>
      </c>
      <c r="D76" s="275" t="s">
        <v>393</v>
      </c>
      <c r="E76" s="275" t="s">
        <v>354</v>
      </c>
      <c r="F76" s="275"/>
    </row>
    <row r="77" spans="2:6">
      <c r="B77">
        <v>76</v>
      </c>
      <c r="C77" s="275">
        <v>92.64</v>
      </c>
      <c r="D77" s="275" t="s">
        <v>394</v>
      </c>
      <c r="E77" s="275" t="s">
        <v>354</v>
      </c>
      <c r="F77" s="275"/>
    </row>
    <row r="78" spans="2:6">
      <c r="B78">
        <v>77</v>
      </c>
      <c r="C78" s="275">
        <v>104.92</v>
      </c>
      <c r="D78" s="275" t="s">
        <v>372</v>
      </c>
      <c r="E78" s="275" t="s">
        <v>354</v>
      </c>
      <c r="F78" s="275"/>
    </row>
    <row r="79" spans="2:6">
      <c r="B79">
        <v>78</v>
      </c>
      <c r="C79" s="275">
        <v>88.25</v>
      </c>
      <c r="D79" s="275" t="s">
        <v>395</v>
      </c>
      <c r="E79" s="275" t="s">
        <v>354</v>
      </c>
      <c r="F79" s="275"/>
    </row>
    <row r="80" spans="2:6">
      <c r="B80">
        <v>79</v>
      </c>
      <c r="C80" s="275">
        <v>95</v>
      </c>
      <c r="D80" s="275" t="s">
        <v>373</v>
      </c>
      <c r="E80" s="275" t="s">
        <v>354</v>
      </c>
      <c r="F80" s="275"/>
    </row>
    <row r="81" spans="2:6">
      <c r="B81">
        <v>80</v>
      </c>
      <c r="C81" s="275">
        <v>127.98</v>
      </c>
      <c r="D81" s="275" t="s">
        <v>374</v>
      </c>
      <c r="E81" s="275" t="s">
        <v>354</v>
      </c>
      <c r="F81" s="275"/>
    </row>
    <row r="82" spans="2:6">
      <c r="B82">
        <v>81</v>
      </c>
      <c r="C82" s="275">
        <v>89.96</v>
      </c>
      <c r="D82" s="275" t="s">
        <v>396</v>
      </c>
      <c r="E82" s="275" t="s">
        <v>354</v>
      </c>
      <c r="F82" s="275"/>
    </row>
    <row r="83" spans="2:6">
      <c r="B83">
        <v>82</v>
      </c>
      <c r="C83" s="275">
        <f>127.98</f>
        <v>127.98</v>
      </c>
      <c r="D83" s="275" t="s">
        <v>367</v>
      </c>
      <c r="E83" s="275" t="s">
        <v>355</v>
      </c>
      <c r="F83" s="275"/>
    </row>
    <row r="84" spans="2:6">
      <c r="B84">
        <v>83</v>
      </c>
      <c r="C84" s="275">
        <v>110.3</v>
      </c>
      <c r="D84" s="275" t="s">
        <v>397</v>
      </c>
      <c r="E84" s="275" t="s">
        <v>354</v>
      </c>
      <c r="F84" s="275"/>
    </row>
    <row r="85" spans="2:6">
      <c r="B85">
        <v>84</v>
      </c>
      <c r="C85" s="275">
        <v>132.44</v>
      </c>
      <c r="D85" s="275" t="s">
        <v>398</v>
      </c>
      <c r="E85" s="275" t="s">
        <v>354</v>
      </c>
      <c r="F85" s="275"/>
    </row>
    <row r="86" spans="2:6">
      <c r="B86">
        <v>85</v>
      </c>
      <c r="C86">
        <v>496.82</v>
      </c>
      <c r="D86" t="s">
        <v>353</v>
      </c>
      <c r="E86" t="s">
        <v>399</v>
      </c>
    </row>
    <row r="87" spans="2:6">
      <c r="B87">
        <v>86</v>
      </c>
      <c r="C87">
        <v>66.88</v>
      </c>
      <c r="D87" t="s">
        <v>353</v>
      </c>
      <c r="E87" t="s">
        <v>400</v>
      </c>
    </row>
    <row r="88" spans="2:6">
      <c r="B88">
        <v>87</v>
      </c>
      <c r="C88">
        <v>74.8</v>
      </c>
      <c r="D88" t="s">
        <v>363</v>
      </c>
      <c r="E88" t="s">
        <v>400</v>
      </c>
    </row>
    <row r="89" spans="2:6">
      <c r="B89">
        <v>88</v>
      </c>
      <c r="C89" s="275">
        <v>79.86</v>
      </c>
      <c r="D89" s="275" t="s">
        <v>387</v>
      </c>
      <c r="E89" s="275" t="s">
        <v>354</v>
      </c>
      <c r="F89" s="275"/>
    </row>
    <row r="90" spans="2:6">
      <c r="B90">
        <v>89</v>
      </c>
      <c r="C90" s="275">
        <v>124.45</v>
      </c>
      <c r="D90" s="275" t="s">
        <v>406</v>
      </c>
      <c r="E90" s="275" t="s">
        <v>354</v>
      </c>
      <c r="F90" s="275"/>
    </row>
    <row r="91" spans="2:6">
      <c r="B91">
        <v>90</v>
      </c>
      <c r="C91" s="275">
        <v>150.05000000000001</v>
      </c>
      <c r="D91" s="275" t="s">
        <v>407</v>
      </c>
      <c r="E91" s="275" t="s">
        <v>354</v>
      </c>
      <c r="F91" s="275"/>
    </row>
    <row r="92" spans="2:6">
      <c r="B92">
        <v>91</v>
      </c>
      <c r="C92" s="275">
        <v>89.13</v>
      </c>
      <c r="D92" s="275" t="s">
        <v>374</v>
      </c>
      <c r="E92" s="275" t="s">
        <v>354</v>
      </c>
      <c r="F92" s="275"/>
    </row>
    <row r="93" spans="2:6">
      <c r="B93">
        <v>92</v>
      </c>
      <c r="C93" s="275">
        <v>188.91</v>
      </c>
      <c r="D93" s="275" t="s">
        <v>389</v>
      </c>
      <c r="E93" s="275" t="s">
        <v>354</v>
      </c>
      <c r="F93" s="275"/>
    </row>
    <row r="94" spans="2:6">
      <c r="B94">
        <v>93</v>
      </c>
      <c r="C94" s="275">
        <v>94</v>
      </c>
      <c r="D94" s="275" t="s">
        <v>408</v>
      </c>
      <c r="E94" s="275" t="s">
        <v>354</v>
      </c>
      <c r="F94" s="275"/>
    </row>
    <row r="95" spans="2:6">
      <c r="B95">
        <v>94</v>
      </c>
      <c r="C95" s="275">
        <v>118.26</v>
      </c>
      <c r="D95" s="275" t="s">
        <v>401</v>
      </c>
      <c r="E95" s="275" t="s">
        <v>354</v>
      </c>
      <c r="F95" s="275"/>
    </row>
    <row r="96" spans="2:6">
      <c r="B96">
        <v>95</v>
      </c>
      <c r="C96" s="275">
        <v>136.81</v>
      </c>
      <c r="D96" s="275" t="s">
        <v>409</v>
      </c>
      <c r="E96" s="275" t="s">
        <v>354</v>
      </c>
      <c r="F96" s="275"/>
    </row>
    <row r="97" spans="2:6">
      <c r="B97">
        <v>96</v>
      </c>
      <c r="C97" s="275">
        <v>94</v>
      </c>
      <c r="D97" s="275" t="s">
        <v>359</v>
      </c>
      <c r="E97" s="275" t="s">
        <v>354</v>
      </c>
      <c r="F97" s="275"/>
    </row>
    <row r="98" spans="2:6">
      <c r="B98">
        <v>97</v>
      </c>
      <c r="C98" s="275">
        <v>114.73</v>
      </c>
      <c r="D98" s="275" t="s">
        <v>410</v>
      </c>
      <c r="E98" s="275" t="s">
        <v>354</v>
      </c>
      <c r="F98" s="275"/>
    </row>
    <row r="99" spans="2:6">
      <c r="B99">
        <v>98</v>
      </c>
      <c r="C99" s="275">
        <v>114.73</v>
      </c>
      <c r="D99" s="275" t="s">
        <v>391</v>
      </c>
      <c r="E99" s="275" t="s">
        <v>354</v>
      </c>
      <c r="F99" s="275"/>
    </row>
    <row r="100" spans="2:6">
      <c r="B100">
        <v>99</v>
      </c>
      <c r="C100" s="275">
        <v>159.77000000000001</v>
      </c>
      <c r="D100" s="275" t="s">
        <v>383</v>
      </c>
      <c r="E100" s="275" t="s">
        <v>354</v>
      </c>
      <c r="F100" s="275"/>
    </row>
    <row r="101" spans="2:6">
      <c r="B101">
        <v>100</v>
      </c>
      <c r="C101" s="275">
        <v>101.49</v>
      </c>
      <c r="D101" s="275" t="s">
        <v>411</v>
      </c>
      <c r="E101" s="275" t="s">
        <v>354</v>
      </c>
      <c r="F101" s="275"/>
    </row>
    <row r="102" spans="2:6">
      <c r="B102">
        <v>101</v>
      </c>
      <c r="C102" s="275">
        <v>133.28</v>
      </c>
      <c r="D102" s="275" t="s">
        <v>359</v>
      </c>
      <c r="E102" s="275" t="s">
        <v>354</v>
      </c>
      <c r="F102" s="275"/>
    </row>
    <row r="103" spans="2:6">
      <c r="B103">
        <v>102</v>
      </c>
      <c r="C103">
        <v>130.97</v>
      </c>
      <c r="D103" t="s">
        <v>412</v>
      </c>
      <c r="E103" t="s">
        <v>354</v>
      </c>
    </row>
    <row r="104" spans="2:6">
      <c r="B104">
        <v>103</v>
      </c>
      <c r="C104">
        <v>115.95</v>
      </c>
      <c r="D104" t="s">
        <v>366</v>
      </c>
      <c r="E104" t="s">
        <v>354</v>
      </c>
    </row>
    <row r="105" spans="2:6">
      <c r="B105">
        <v>104</v>
      </c>
      <c r="C105">
        <v>124.79</v>
      </c>
      <c r="D105" t="s">
        <v>413</v>
      </c>
      <c r="E105" t="s">
        <v>354</v>
      </c>
    </row>
    <row r="107" spans="2:6">
      <c r="C107">
        <f>SUM(C2:C106)</f>
        <v>11934.249999999993</v>
      </c>
    </row>
  </sheetData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6F45-D88B-1A43-8C1A-7701E28B855B}">
  <dimension ref="A1:C23"/>
  <sheetViews>
    <sheetView workbookViewId="0">
      <selection activeCell="B3" sqref="B3"/>
    </sheetView>
  </sheetViews>
  <sheetFormatPr defaultColWidth="11" defaultRowHeight="15.75"/>
  <sheetData>
    <row r="1" spans="1:3">
      <c r="A1" s="46" t="s">
        <v>414</v>
      </c>
    </row>
    <row r="2" spans="1:3">
      <c r="B2">
        <v>5.2</v>
      </c>
      <c r="C2" t="s">
        <v>415</v>
      </c>
    </row>
    <row r="3" spans="1:3">
      <c r="B3">
        <f>151+152.53+249.78+152.54+55.3+152.54+153.17+97.88</f>
        <v>1164.7399999999998</v>
      </c>
      <c r="C3" t="s">
        <v>416</v>
      </c>
    </row>
    <row r="4" spans="1:3">
      <c r="B4">
        <f>102+105+105+105+105</f>
        <v>522</v>
      </c>
      <c r="C4" t="s">
        <v>417</v>
      </c>
    </row>
    <row r="5" spans="1:3">
      <c r="B5">
        <v>145.69999999999999</v>
      </c>
      <c r="C5" t="s">
        <v>418</v>
      </c>
    </row>
    <row r="6" spans="1:3">
      <c r="B6">
        <f>158.94+476.82+291.39+370.86+320.34</f>
        <v>1618.35</v>
      </c>
      <c r="C6" t="s">
        <v>419</v>
      </c>
    </row>
    <row r="7" spans="1:3">
      <c r="B7">
        <f>30.94+30.06+23.87</f>
        <v>84.87</v>
      </c>
      <c r="C7" t="s">
        <v>420</v>
      </c>
    </row>
    <row r="8" spans="1:3">
      <c r="B8">
        <f>232.7+1302.71</f>
        <v>1535.41</v>
      </c>
      <c r="C8" t="s">
        <v>421</v>
      </c>
    </row>
    <row r="9" spans="1:3">
      <c r="B9">
        <f>389.39+339.06+164.62</f>
        <v>893.07</v>
      </c>
      <c r="C9" t="s">
        <v>422</v>
      </c>
    </row>
    <row r="10" spans="1:3">
      <c r="B10">
        <v>145.69999999999999</v>
      </c>
      <c r="C10" t="s">
        <v>418</v>
      </c>
    </row>
    <row r="11" spans="1:3">
      <c r="B11">
        <v>233.11</v>
      </c>
      <c r="C11" t="s">
        <v>423</v>
      </c>
    </row>
    <row r="12" spans="1:3">
      <c r="B12">
        <v>476.82</v>
      </c>
      <c r="C12" t="s">
        <v>424</v>
      </c>
    </row>
    <row r="13" spans="1:3">
      <c r="B13">
        <v>401.77</v>
      </c>
      <c r="C13" t="s">
        <v>425</v>
      </c>
    </row>
    <row r="14" spans="1:3">
      <c r="B14">
        <v>136.87</v>
      </c>
      <c r="C14" t="s">
        <v>426</v>
      </c>
    </row>
    <row r="15" spans="1:3">
      <c r="B15">
        <v>148.34</v>
      </c>
      <c r="C15" t="s">
        <v>427</v>
      </c>
    </row>
    <row r="16" spans="1:3">
      <c r="B16">
        <v>77.260000000000005</v>
      </c>
      <c r="C16" t="s">
        <v>428</v>
      </c>
    </row>
    <row r="17" spans="2:3">
      <c r="B17">
        <v>222.52</v>
      </c>
      <c r="C17" t="s">
        <v>429</v>
      </c>
    </row>
    <row r="18" spans="2:3">
      <c r="B18">
        <v>166.89</v>
      </c>
      <c r="C18" t="s">
        <v>430</v>
      </c>
    </row>
    <row r="19" spans="2:3">
      <c r="B19">
        <v>132.44999999999999</v>
      </c>
      <c r="C19" t="s">
        <v>431</v>
      </c>
    </row>
    <row r="20" spans="2:3">
      <c r="B20">
        <v>401.76</v>
      </c>
      <c r="C20" t="s">
        <v>432</v>
      </c>
    </row>
    <row r="21" spans="2:3">
      <c r="B21">
        <v>46.7</v>
      </c>
      <c r="C21" t="s">
        <v>433</v>
      </c>
    </row>
    <row r="23" spans="2:3">
      <c r="B23">
        <f>SUM(B2:B22)</f>
        <v>8559.5299999999988</v>
      </c>
    </row>
  </sheetData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FFFF3-437E-E54B-A0ED-81C4E5BACAF0}">
  <dimension ref="A1:I12"/>
  <sheetViews>
    <sheetView workbookViewId="0">
      <selection activeCell="B13" sqref="B13"/>
    </sheetView>
  </sheetViews>
  <sheetFormatPr defaultColWidth="11" defaultRowHeight="15.75"/>
  <sheetData>
    <row r="1" spans="1:9">
      <c r="A1" t="s">
        <v>434</v>
      </c>
      <c r="B1" t="s">
        <v>435</v>
      </c>
      <c r="E1" t="s">
        <v>436</v>
      </c>
    </row>
    <row r="2" spans="1:9">
      <c r="B2">
        <v>100.3</v>
      </c>
      <c r="E2">
        <v>105</v>
      </c>
      <c r="F2" t="s">
        <v>437</v>
      </c>
      <c r="H2">
        <v>118</v>
      </c>
      <c r="I2" t="s">
        <v>438</v>
      </c>
    </row>
    <row r="3" spans="1:9">
      <c r="B3">
        <v>88.5</v>
      </c>
      <c r="E3">
        <v>108.5</v>
      </c>
      <c r="F3" t="s">
        <v>437</v>
      </c>
      <c r="H3">
        <v>95.7</v>
      </c>
    </row>
    <row r="4" spans="1:9">
      <c r="B4">
        <v>100.3</v>
      </c>
      <c r="E4">
        <v>237</v>
      </c>
      <c r="F4" t="s">
        <v>345</v>
      </c>
      <c r="H4">
        <v>53.63</v>
      </c>
    </row>
    <row r="5" spans="1:9">
      <c r="B5">
        <v>103.7</v>
      </c>
      <c r="E5">
        <v>137</v>
      </c>
      <c r="F5" t="s">
        <v>439</v>
      </c>
      <c r="H5">
        <v>69.959999999999994</v>
      </c>
    </row>
    <row r="6" spans="1:9">
      <c r="A6" s="297">
        <v>45764</v>
      </c>
      <c r="B6">
        <v>154.5</v>
      </c>
    </row>
    <row r="7" spans="1:9">
      <c r="A7" s="297">
        <v>45770</v>
      </c>
      <c r="B7">
        <v>95.6</v>
      </c>
    </row>
    <row r="8" spans="1:9">
      <c r="A8" s="297">
        <v>45775</v>
      </c>
      <c r="B8">
        <v>42.7</v>
      </c>
    </row>
    <row r="9" spans="1:9">
      <c r="A9" s="297">
        <v>45818</v>
      </c>
      <c r="B9">
        <v>103.7</v>
      </c>
    </row>
    <row r="10" spans="1:9">
      <c r="A10" s="297">
        <v>45888</v>
      </c>
      <c r="B10">
        <v>103.7</v>
      </c>
    </row>
    <row r="11" spans="1:9">
      <c r="A11" s="297">
        <v>45916</v>
      </c>
      <c r="B11">
        <v>135</v>
      </c>
    </row>
    <row r="12" spans="1:9">
      <c r="A12" s="297">
        <v>45943</v>
      </c>
      <c r="B12">
        <v>87.6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62D4-76F6-3441-A4D3-F02279C60D0F}">
  <dimension ref="A1"/>
  <sheetViews>
    <sheetView workbookViewId="0">
      <selection activeCell="G30" sqref="G30"/>
    </sheetView>
  </sheetViews>
  <sheetFormatPr defaultColWidth="11" defaultRowHeight="15.75"/>
  <sheetData/>
  <pageMargins left="0.7" right="0.7" top="0.75" bottom="0.75" header="0.3" footer="0.3"/>
  <pageSetup paperSize="9"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451A-0DB2-CD4C-A304-3B1E4021450F}">
  <dimension ref="A1:I145"/>
  <sheetViews>
    <sheetView topLeftCell="A115" workbookViewId="0">
      <selection activeCell="F102" sqref="F102"/>
    </sheetView>
  </sheetViews>
  <sheetFormatPr defaultColWidth="11" defaultRowHeight="15.75"/>
  <sheetData>
    <row r="1" spans="1:8">
      <c r="A1" s="55" t="s">
        <v>131</v>
      </c>
      <c r="F1">
        <v>41.3</v>
      </c>
      <c r="G1" t="s">
        <v>440</v>
      </c>
      <c r="H1" t="s">
        <v>441</v>
      </c>
    </row>
    <row r="2" spans="1:8">
      <c r="B2">
        <v>407.21</v>
      </c>
      <c r="C2" t="s">
        <v>442</v>
      </c>
      <c r="D2" t="s">
        <v>443</v>
      </c>
      <c r="F2">
        <v>58.28</v>
      </c>
      <c r="G2" t="s">
        <v>353</v>
      </c>
      <c r="H2" t="s">
        <v>444</v>
      </c>
    </row>
    <row r="3" spans="1:8">
      <c r="B3">
        <v>41.3</v>
      </c>
      <c r="C3" t="s">
        <v>440</v>
      </c>
      <c r="D3" t="s">
        <v>441</v>
      </c>
      <c r="F3">
        <v>82.12</v>
      </c>
      <c r="G3" t="s">
        <v>375</v>
      </c>
      <c r="H3" t="s">
        <v>444</v>
      </c>
    </row>
    <row r="4" spans="1:8">
      <c r="B4">
        <v>65.3</v>
      </c>
      <c r="C4" t="s">
        <v>442</v>
      </c>
      <c r="D4" t="s">
        <v>443</v>
      </c>
      <c r="F4">
        <v>81.239999999999995</v>
      </c>
      <c r="G4" t="s">
        <v>367</v>
      </c>
      <c r="H4" t="s">
        <v>444</v>
      </c>
    </row>
    <row r="5" spans="1:8">
      <c r="B5">
        <v>88.3</v>
      </c>
      <c r="C5" t="s">
        <v>445</v>
      </c>
      <c r="D5" t="s">
        <v>446</v>
      </c>
      <c r="F5">
        <v>26.49</v>
      </c>
      <c r="G5" t="s">
        <v>358</v>
      </c>
      <c r="H5" t="s">
        <v>444</v>
      </c>
    </row>
    <row r="6" spans="1:8">
      <c r="B6">
        <v>70.64</v>
      </c>
      <c r="C6" t="s">
        <v>409</v>
      </c>
      <c r="D6" t="s">
        <v>446</v>
      </c>
      <c r="F6">
        <v>35.32</v>
      </c>
      <c r="G6" t="s">
        <v>389</v>
      </c>
      <c r="H6" t="s">
        <v>444</v>
      </c>
    </row>
    <row r="7" spans="1:8">
      <c r="B7">
        <v>57.4</v>
      </c>
      <c r="C7" t="s">
        <v>447</v>
      </c>
      <c r="D7" t="s">
        <v>446</v>
      </c>
      <c r="F7">
        <v>70.64</v>
      </c>
      <c r="G7" t="s">
        <v>356</v>
      </c>
      <c r="H7" t="s">
        <v>444</v>
      </c>
    </row>
    <row r="8" spans="1:8">
      <c r="B8">
        <v>85.65</v>
      </c>
      <c r="C8" t="s">
        <v>448</v>
      </c>
      <c r="D8" t="s">
        <v>446</v>
      </c>
      <c r="F8">
        <v>12.36</v>
      </c>
      <c r="G8" t="s">
        <v>360</v>
      </c>
      <c r="H8" t="s">
        <v>444</v>
      </c>
    </row>
    <row r="9" spans="1:8">
      <c r="B9">
        <v>124.44</v>
      </c>
      <c r="C9" t="s">
        <v>445</v>
      </c>
      <c r="D9" t="s">
        <v>446</v>
      </c>
      <c r="F9">
        <v>22.07</v>
      </c>
      <c r="G9" t="s">
        <v>357</v>
      </c>
      <c r="H9" t="s">
        <v>444</v>
      </c>
    </row>
    <row r="10" spans="1:8">
      <c r="B10">
        <v>124.44</v>
      </c>
      <c r="C10" t="s">
        <v>449</v>
      </c>
      <c r="D10" t="s">
        <v>446</v>
      </c>
      <c r="F10">
        <v>58.28</v>
      </c>
      <c r="G10" t="s">
        <v>353</v>
      </c>
      <c r="H10" t="s">
        <v>444</v>
      </c>
    </row>
    <row r="11" spans="1:8">
      <c r="B11">
        <v>41.5</v>
      </c>
      <c r="C11" t="s">
        <v>450</v>
      </c>
      <c r="D11" t="s">
        <v>446</v>
      </c>
      <c r="F11">
        <v>82.12</v>
      </c>
      <c r="G11" t="s">
        <v>375</v>
      </c>
      <c r="H11" t="s">
        <v>444</v>
      </c>
    </row>
    <row r="12" spans="1:8">
      <c r="B12">
        <v>30.9</v>
      </c>
      <c r="C12" t="s">
        <v>451</v>
      </c>
      <c r="D12" t="s">
        <v>446</v>
      </c>
      <c r="F12">
        <v>81.239999999999995</v>
      </c>
      <c r="G12" t="s">
        <v>367</v>
      </c>
      <c r="H12" t="s">
        <v>444</v>
      </c>
    </row>
    <row r="13" spans="1:8">
      <c r="B13">
        <v>58.28</v>
      </c>
      <c r="C13" t="s">
        <v>353</v>
      </c>
      <c r="D13" t="s">
        <v>444</v>
      </c>
      <c r="F13">
        <v>75.05</v>
      </c>
      <c r="G13" t="s">
        <v>358</v>
      </c>
      <c r="H13" t="s">
        <v>444</v>
      </c>
    </row>
    <row r="14" spans="1:8">
      <c r="B14">
        <v>82.12</v>
      </c>
      <c r="C14" t="s">
        <v>375</v>
      </c>
      <c r="D14" t="s">
        <v>444</v>
      </c>
      <c r="F14">
        <v>35.32</v>
      </c>
      <c r="G14" t="s">
        <v>389</v>
      </c>
      <c r="H14" t="s">
        <v>444</v>
      </c>
    </row>
    <row r="15" spans="1:8">
      <c r="B15">
        <v>81.239999999999995</v>
      </c>
      <c r="C15" t="s">
        <v>367</v>
      </c>
      <c r="D15" t="s">
        <v>444</v>
      </c>
      <c r="F15">
        <v>70.64</v>
      </c>
      <c r="G15" t="s">
        <v>356</v>
      </c>
      <c r="H15" t="s">
        <v>444</v>
      </c>
    </row>
    <row r="16" spans="1:8">
      <c r="B16">
        <v>26.49</v>
      </c>
      <c r="C16" t="s">
        <v>358</v>
      </c>
      <c r="D16" t="s">
        <v>444</v>
      </c>
      <c r="F16">
        <v>12.36</v>
      </c>
      <c r="G16" t="s">
        <v>360</v>
      </c>
      <c r="H16" t="s">
        <v>444</v>
      </c>
    </row>
    <row r="17" spans="2:8">
      <c r="B17">
        <v>35.32</v>
      </c>
      <c r="C17" t="s">
        <v>389</v>
      </c>
      <c r="D17" t="s">
        <v>444</v>
      </c>
      <c r="F17">
        <v>67.11</v>
      </c>
      <c r="G17" t="s">
        <v>353</v>
      </c>
      <c r="H17" t="s">
        <v>444</v>
      </c>
    </row>
    <row r="18" spans="2:8">
      <c r="B18">
        <v>70.64</v>
      </c>
      <c r="C18" t="s">
        <v>356</v>
      </c>
      <c r="D18" t="s">
        <v>444</v>
      </c>
      <c r="F18">
        <v>70.64</v>
      </c>
      <c r="G18" t="s">
        <v>356</v>
      </c>
      <c r="H18" t="s">
        <v>444</v>
      </c>
    </row>
    <row r="19" spans="2:8">
      <c r="B19">
        <v>12.36</v>
      </c>
      <c r="C19" t="s">
        <v>360</v>
      </c>
      <c r="D19" t="s">
        <v>444</v>
      </c>
      <c r="F19">
        <v>90.93</v>
      </c>
      <c r="G19" t="s">
        <v>366</v>
      </c>
      <c r="H19" t="s">
        <v>444</v>
      </c>
    </row>
    <row r="20" spans="2:8">
      <c r="B20">
        <v>22.07</v>
      </c>
      <c r="C20" t="s">
        <v>357</v>
      </c>
      <c r="D20" t="s">
        <v>444</v>
      </c>
      <c r="F20">
        <v>55.19</v>
      </c>
      <c r="G20" t="s">
        <v>353</v>
      </c>
      <c r="H20" t="s">
        <v>444</v>
      </c>
    </row>
    <row r="21" spans="2:8">
      <c r="B21">
        <v>88.3</v>
      </c>
      <c r="C21" t="s">
        <v>445</v>
      </c>
      <c r="D21" t="s">
        <v>446</v>
      </c>
      <c r="F21">
        <v>70.64</v>
      </c>
      <c r="G21" t="s">
        <v>356</v>
      </c>
      <c r="H21" t="s">
        <v>444</v>
      </c>
    </row>
    <row r="22" spans="2:8">
      <c r="B22">
        <v>70.64</v>
      </c>
      <c r="C22" t="s">
        <v>409</v>
      </c>
      <c r="D22" t="s">
        <v>446</v>
      </c>
      <c r="F22">
        <v>55.19</v>
      </c>
      <c r="G22" t="s">
        <v>353</v>
      </c>
      <c r="H22" t="s">
        <v>444</v>
      </c>
    </row>
    <row r="23" spans="2:8">
      <c r="B23">
        <v>57.4</v>
      </c>
      <c r="C23" t="s">
        <v>447</v>
      </c>
      <c r="D23" t="s">
        <v>446</v>
      </c>
      <c r="F23">
        <v>70.64</v>
      </c>
      <c r="G23" t="s">
        <v>356</v>
      </c>
      <c r="H23" t="s">
        <v>444</v>
      </c>
    </row>
    <row r="24" spans="2:8">
      <c r="B24">
        <v>85.65</v>
      </c>
      <c r="C24" t="s">
        <v>448</v>
      </c>
      <c r="D24" t="s">
        <v>446</v>
      </c>
      <c r="F24">
        <v>12.36</v>
      </c>
      <c r="G24" t="s">
        <v>360</v>
      </c>
      <c r="H24" t="s">
        <v>444</v>
      </c>
    </row>
    <row r="25" spans="2:8">
      <c r="B25">
        <v>58.28</v>
      </c>
      <c r="C25" t="s">
        <v>452</v>
      </c>
      <c r="D25" t="s">
        <v>446</v>
      </c>
      <c r="F25">
        <v>75.05</v>
      </c>
      <c r="G25" t="s">
        <v>358</v>
      </c>
      <c r="H25" t="s">
        <v>444</v>
      </c>
    </row>
    <row r="26" spans="2:8">
      <c r="B26">
        <v>40.880000000000003</v>
      </c>
      <c r="C26" t="s">
        <v>452</v>
      </c>
      <c r="D26" t="s">
        <v>446</v>
      </c>
      <c r="F26">
        <v>82.12</v>
      </c>
      <c r="G26" t="s">
        <v>367</v>
      </c>
      <c r="H26" t="s">
        <v>444</v>
      </c>
    </row>
    <row r="27" spans="2:8">
      <c r="B27">
        <v>25.52</v>
      </c>
      <c r="C27" t="s">
        <v>426</v>
      </c>
      <c r="D27" t="s">
        <v>446</v>
      </c>
      <c r="F27">
        <v>44.15</v>
      </c>
      <c r="G27" t="s">
        <v>357</v>
      </c>
      <c r="H27" t="s">
        <v>444</v>
      </c>
    </row>
    <row r="28" spans="2:8">
      <c r="B28">
        <v>58.28</v>
      </c>
      <c r="C28" t="s">
        <v>353</v>
      </c>
      <c r="D28" t="s">
        <v>444</v>
      </c>
      <c r="F28">
        <v>35.32</v>
      </c>
      <c r="G28" t="s">
        <v>389</v>
      </c>
      <c r="H28" t="s">
        <v>444</v>
      </c>
    </row>
    <row r="29" spans="2:8">
      <c r="B29">
        <v>82.12</v>
      </c>
      <c r="C29" t="s">
        <v>375</v>
      </c>
      <c r="D29" t="s">
        <v>444</v>
      </c>
      <c r="F29">
        <v>75.05</v>
      </c>
      <c r="G29" t="s">
        <v>363</v>
      </c>
      <c r="H29" t="s">
        <v>444</v>
      </c>
    </row>
    <row r="30" spans="2:8">
      <c r="B30">
        <v>81.239999999999995</v>
      </c>
      <c r="C30" t="s">
        <v>367</v>
      </c>
      <c r="D30" t="s">
        <v>444</v>
      </c>
      <c r="F30">
        <v>77.260000000000005</v>
      </c>
      <c r="G30" t="s">
        <v>353</v>
      </c>
      <c r="H30" t="s">
        <v>444</v>
      </c>
    </row>
    <row r="31" spans="2:8">
      <c r="B31">
        <v>75.05</v>
      </c>
      <c r="C31" t="s">
        <v>358</v>
      </c>
      <c r="D31" t="s">
        <v>444</v>
      </c>
      <c r="F31">
        <v>69.08</v>
      </c>
      <c r="G31" t="s">
        <v>353</v>
      </c>
      <c r="H31" t="s">
        <v>444</v>
      </c>
    </row>
    <row r="32" spans="2:8">
      <c r="B32">
        <v>35.32</v>
      </c>
      <c r="C32" t="s">
        <v>389</v>
      </c>
      <c r="D32" t="s">
        <v>444</v>
      </c>
      <c r="F32">
        <v>74.8</v>
      </c>
      <c r="G32" t="s">
        <v>363</v>
      </c>
      <c r="H32" t="s">
        <v>444</v>
      </c>
    </row>
    <row r="33" spans="2:8">
      <c r="B33">
        <v>70.64</v>
      </c>
      <c r="C33" t="s">
        <v>356</v>
      </c>
      <c r="D33" t="s">
        <v>444</v>
      </c>
      <c r="F33">
        <v>70.400000000000006</v>
      </c>
      <c r="G33" t="s">
        <v>356</v>
      </c>
      <c r="H33" t="s">
        <v>444</v>
      </c>
    </row>
    <row r="34" spans="2:8">
      <c r="B34">
        <v>12.36</v>
      </c>
      <c r="C34" t="s">
        <v>360</v>
      </c>
      <c r="D34" t="s">
        <v>444</v>
      </c>
      <c r="F34">
        <v>64.239999999999995</v>
      </c>
      <c r="G34" t="s">
        <v>353</v>
      </c>
      <c r="H34" t="s">
        <v>444</v>
      </c>
    </row>
    <row r="35" spans="2:8">
      <c r="B35">
        <v>-88.3</v>
      </c>
      <c r="C35" t="s">
        <v>445</v>
      </c>
      <c r="D35" t="s">
        <v>446</v>
      </c>
      <c r="F35">
        <v>81.84</v>
      </c>
      <c r="G35" t="s">
        <v>375</v>
      </c>
      <c r="H35" t="s">
        <v>444</v>
      </c>
    </row>
    <row r="36" spans="2:8">
      <c r="B36">
        <v>-70.64</v>
      </c>
      <c r="C36" t="s">
        <v>409</v>
      </c>
      <c r="D36" t="s">
        <v>446</v>
      </c>
      <c r="F36">
        <v>80.959999999999994</v>
      </c>
      <c r="G36" t="s">
        <v>367</v>
      </c>
      <c r="H36" t="s">
        <v>444</v>
      </c>
    </row>
    <row r="37" spans="2:8">
      <c r="B37">
        <v>-57.4</v>
      </c>
      <c r="C37" t="s">
        <v>447</v>
      </c>
      <c r="D37" t="s">
        <v>446</v>
      </c>
      <c r="F37">
        <v>74.8</v>
      </c>
      <c r="G37" t="s">
        <v>358</v>
      </c>
      <c r="H37" t="s">
        <v>444</v>
      </c>
    </row>
    <row r="38" spans="2:8">
      <c r="B38">
        <v>-85.65</v>
      </c>
      <c r="C38" t="s">
        <v>448</v>
      </c>
      <c r="D38" t="s">
        <v>446</v>
      </c>
      <c r="F38">
        <v>36.08</v>
      </c>
      <c r="G38" t="s">
        <v>389</v>
      </c>
      <c r="H38" t="s">
        <v>444</v>
      </c>
    </row>
    <row r="39" spans="2:8">
      <c r="B39">
        <v>264.14999999999998</v>
      </c>
      <c r="C39" t="s">
        <v>442</v>
      </c>
      <c r="D39" t="s">
        <v>443</v>
      </c>
      <c r="F39">
        <v>70.400000000000006</v>
      </c>
      <c r="G39" t="s">
        <v>356</v>
      </c>
      <c r="H39" t="s">
        <v>444</v>
      </c>
    </row>
    <row r="40" spans="2:8">
      <c r="B40">
        <v>162.54</v>
      </c>
      <c r="C40" t="s">
        <v>442</v>
      </c>
      <c r="D40" t="s">
        <v>443</v>
      </c>
      <c r="F40">
        <v>80.959999999999994</v>
      </c>
      <c r="G40" t="s">
        <v>453</v>
      </c>
      <c r="H40" t="s">
        <v>444</v>
      </c>
    </row>
    <row r="41" spans="2:8">
      <c r="B41">
        <v>67.11</v>
      </c>
      <c r="C41" t="s">
        <v>353</v>
      </c>
      <c r="D41" t="s">
        <v>444</v>
      </c>
      <c r="F41">
        <v>44</v>
      </c>
      <c r="G41" t="s">
        <v>357</v>
      </c>
      <c r="H41" t="s">
        <v>444</v>
      </c>
    </row>
    <row r="42" spans="2:8">
      <c r="B42">
        <v>70.64</v>
      </c>
      <c r="C42" t="s">
        <v>356</v>
      </c>
      <c r="D42" t="s">
        <v>444</v>
      </c>
      <c r="F42">
        <v>62.92</v>
      </c>
      <c r="G42" t="s">
        <v>353</v>
      </c>
      <c r="H42" t="s">
        <v>444</v>
      </c>
    </row>
    <row r="43" spans="2:8">
      <c r="B43">
        <v>90.93</v>
      </c>
      <c r="C43" t="s">
        <v>366</v>
      </c>
      <c r="D43" t="s">
        <v>444</v>
      </c>
      <c r="F43">
        <v>81.84</v>
      </c>
      <c r="G43" t="s">
        <v>375</v>
      </c>
      <c r="H43" t="s">
        <v>444</v>
      </c>
    </row>
    <row r="44" spans="2:8">
      <c r="B44">
        <v>55.19</v>
      </c>
      <c r="C44" t="s">
        <v>353</v>
      </c>
      <c r="D44" t="s">
        <v>444</v>
      </c>
      <c r="F44">
        <v>74.8</v>
      </c>
      <c r="G44" t="s">
        <v>358</v>
      </c>
      <c r="H44" t="s">
        <v>444</v>
      </c>
    </row>
    <row r="45" spans="2:8">
      <c r="B45">
        <v>70.64</v>
      </c>
      <c r="C45" t="s">
        <v>356</v>
      </c>
      <c r="D45" t="s">
        <v>444</v>
      </c>
      <c r="F45">
        <v>80.959999999999994</v>
      </c>
      <c r="G45" t="s">
        <v>367</v>
      </c>
      <c r="H45" t="s">
        <v>444</v>
      </c>
    </row>
    <row r="46" spans="2:8">
      <c r="B46">
        <v>55.19</v>
      </c>
      <c r="C46" t="s">
        <v>353</v>
      </c>
      <c r="D46" t="s">
        <v>444</v>
      </c>
      <c r="F46">
        <v>70.400000000000006</v>
      </c>
      <c r="G46" t="s">
        <v>356</v>
      </c>
      <c r="H46" t="s">
        <v>444</v>
      </c>
    </row>
    <row r="47" spans="2:8">
      <c r="B47">
        <v>70.64</v>
      </c>
      <c r="C47" t="s">
        <v>356</v>
      </c>
      <c r="D47" t="s">
        <v>444</v>
      </c>
      <c r="F47">
        <v>60.51</v>
      </c>
      <c r="G47" t="s">
        <v>353</v>
      </c>
      <c r="H47" t="s">
        <v>444</v>
      </c>
    </row>
    <row r="48" spans="2:8">
      <c r="B48">
        <v>12.36</v>
      </c>
      <c r="C48" t="s">
        <v>360</v>
      </c>
      <c r="D48" t="s">
        <v>444</v>
      </c>
      <c r="F48">
        <v>62.29</v>
      </c>
      <c r="G48" t="s">
        <v>353</v>
      </c>
      <c r="H48" t="s">
        <v>444</v>
      </c>
    </row>
    <row r="49" spans="2:8">
      <c r="B49">
        <v>75.05</v>
      </c>
      <c r="C49" t="s">
        <v>358</v>
      </c>
      <c r="D49" t="s">
        <v>444</v>
      </c>
      <c r="F49">
        <v>71.180000000000007</v>
      </c>
      <c r="G49" t="s">
        <v>356</v>
      </c>
      <c r="H49" t="s">
        <v>444</v>
      </c>
    </row>
    <row r="50" spans="2:8">
      <c r="B50">
        <v>82.12</v>
      </c>
      <c r="C50" t="s">
        <v>367</v>
      </c>
      <c r="D50" t="s">
        <v>444</v>
      </c>
      <c r="F50">
        <v>71.180000000000007</v>
      </c>
      <c r="G50" t="s">
        <v>356</v>
      </c>
      <c r="H50" t="s">
        <v>444</v>
      </c>
    </row>
    <row r="51" spans="2:8">
      <c r="B51">
        <v>44.15</v>
      </c>
      <c r="C51" t="s">
        <v>357</v>
      </c>
      <c r="D51" t="s">
        <v>444</v>
      </c>
      <c r="F51">
        <v>40.04</v>
      </c>
      <c r="G51" t="s">
        <v>402</v>
      </c>
      <c r="H51" t="s">
        <v>444</v>
      </c>
    </row>
    <row r="52" spans="2:8">
      <c r="B52">
        <v>35.32</v>
      </c>
      <c r="C52" t="s">
        <v>389</v>
      </c>
      <c r="D52" t="s">
        <v>444</v>
      </c>
      <c r="F52">
        <v>44.49</v>
      </c>
      <c r="G52" t="s">
        <v>357</v>
      </c>
      <c r="H52" t="s">
        <v>444</v>
      </c>
    </row>
    <row r="53" spans="2:8">
      <c r="B53">
        <v>88.3</v>
      </c>
      <c r="C53" t="s">
        <v>454</v>
      </c>
      <c r="D53" t="s">
        <v>446</v>
      </c>
      <c r="F53">
        <v>82.75</v>
      </c>
      <c r="G53" t="s">
        <v>367</v>
      </c>
      <c r="H53" t="s">
        <v>444</v>
      </c>
    </row>
    <row r="54" spans="2:8">
      <c r="B54">
        <v>85.65</v>
      </c>
      <c r="C54" t="s">
        <v>448</v>
      </c>
      <c r="D54" t="s">
        <v>446</v>
      </c>
      <c r="F54">
        <v>75.63</v>
      </c>
      <c r="G54" t="s">
        <v>358</v>
      </c>
      <c r="H54" t="s">
        <v>444</v>
      </c>
    </row>
    <row r="55" spans="2:8">
      <c r="B55">
        <v>70.64</v>
      </c>
      <c r="C55" t="s">
        <v>409</v>
      </c>
      <c r="D55" t="s">
        <v>446</v>
      </c>
      <c r="F55">
        <v>90.76</v>
      </c>
      <c r="G55" t="s">
        <v>353</v>
      </c>
      <c r="H55" t="s">
        <v>444</v>
      </c>
    </row>
    <row r="56" spans="2:8">
      <c r="B56">
        <v>57.4</v>
      </c>
      <c r="C56" t="s">
        <v>447</v>
      </c>
      <c r="D56" t="s">
        <v>446</v>
      </c>
      <c r="F56">
        <v>75.63</v>
      </c>
      <c r="G56" t="s">
        <v>363</v>
      </c>
      <c r="H56" t="s">
        <v>444</v>
      </c>
    </row>
    <row r="57" spans="2:8">
      <c r="B57">
        <v>57.39</v>
      </c>
      <c r="C57" t="s">
        <v>455</v>
      </c>
      <c r="D57" t="s">
        <v>446</v>
      </c>
      <c r="F57">
        <v>40.04</v>
      </c>
      <c r="G57" t="s">
        <v>356</v>
      </c>
      <c r="H57" t="s">
        <v>444</v>
      </c>
    </row>
    <row r="58" spans="2:8">
      <c r="B58">
        <v>37.090000000000003</v>
      </c>
      <c r="C58" t="s">
        <v>456</v>
      </c>
      <c r="D58" t="s">
        <v>446</v>
      </c>
      <c r="F58">
        <v>44.49</v>
      </c>
      <c r="G58" t="s">
        <v>365</v>
      </c>
      <c r="H58" t="s">
        <v>444</v>
      </c>
    </row>
    <row r="59" spans="2:8">
      <c r="B59">
        <v>70.64</v>
      </c>
      <c r="C59" t="s">
        <v>457</v>
      </c>
      <c r="D59" t="s">
        <v>446</v>
      </c>
      <c r="F59">
        <v>123.43</v>
      </c>
      <c r="G59" t="s">
        <v>367</v>
      </c>
      <c r="H59" t="s">
        <v>444</v>
      </c>
    </row>
    <row r="60" spans="2:8">
      <c r="B60">
        <v>88.3</v>
      </c>
      <c r="C60" t="s">
        <v>445</v>
      </c>
      <c r="D60" t="s">
        <v>446</v>
      </c>
      <c r="F60">
        <v>72.709999999999994</v>
      </c>
      <c r="G60" t="s">
        <v>458</v>
      </c>
      <c r="H60" t="s">
        <v>444</v>
      </c>
    </row>
    <row r="61" spans="2:8">
      <c r="B61">
        <v>88.3</v>
      </c>
      <c r="C61" t="s">
        <v>454</v>
      </c>
      <c r="D61" t="s">
        <v>446</v>
      </c>
      <c r="F61">
        <v>54.72</v>
      </c>
      <c r="G61" t="s">
        <v>353</v>
      </c>
      <c r="H61" t="s">
        <v>444</v>
      </c>
    </row>
    <row r="62" spans="2:8">
      <c r="B62">
        <v>30.9</v>
      </c>
      <c r="C62" t="s">
        <v>450</v>
      </c>
      <c r="D62" t="s">
        <v>446</v>
      </c>
      <c r="F62">
        <v>88.98</v>
      </c>
      <c r="G62" t="s">
        <v>356</v>
      </c>
      <c r="H62" t="s">
        <v>444</v>
      </c>
    </row>
    <row r="63" spans="2:8">
      <c r="B63">
        <v>75.05</v>
      </c>
      <c r="C63" t="s">
        <v>363</v>
      </c>
      <c r="D63" t="s">
        <v>444</v>
      </c>
      <c r="F63">
        <v>47.16</v>
      </c>
      <c r="G63" t="s">
        <v>357</v>
      </c>
      <c r="H63" t="s">
        <v>444</v>
      </c>
    </row>
    <row r="64" spans="2:8">
      <c r="B64">
        <v>77.260000000000005</v>
      </c>
      <c r="C64" t="s">
        <v>353</v>
      </c>
      <c r="D64" t="s">
        <v>444</v>
      </c>
      <c r="F64">
        <v>80.08</v>
      </c>
      <c r="G64" t="s">
        <v>367</v>
      </c>
      <c r="H64" t="s">
        <v>444</v>
      </c>
    </row>
    <row r="65" spans="2:9">
      <c r="B65">
        <v>50.4</v>
      </c>
      <c r="C65" t="s">
        <v>459</v>
      </c>
      <c r="D65" t="s">
        <v>460</v>
      </c>
      <c r="F65">
        <v>64.069999999999993</v>
      </c>
      <c r="G65" t="s">
        <v>375</v>
      </c>
      <c r="H65" t="s">
        <v>444</v>
      </c>
    </row>
    <row r="66" spans="2:9">
      <c r="B66">
        <v>40</v>
      </c>
      <c r="C66" t="s">
        <v>461</v>
      </c>
      <c r="D66" t="s">
        <v>446</v>
      </c>
      <c r="F66">
        <v>74.3</v>
      </c>
      <c r="G66" t="s">
        <v>375</v>
      </c>
      <c r="H66" t="s">
        <v>444</v>
      </c>
      <c r="I66">
        <f>SUM(F2:F66)</f>
        <v>4168.1000000000004</v>
      </c>
    </row>
    <row r="67" spans="2:9">
      <c r="B67">
        <v>126.93</v>
      </c>
      <c r="C67" t="s">
        <v>449</v>
      </c>
      <c r="D67" t="s">
        <v>446</v>
      </c>
      <c r="F67">
        <v>407.21</v>
      </c>
      <c r="G67" t="s">
        <v>442</v>
      </c>
      <c r="H67" t="s">
        <v>443</v>
      </c>
    </row>
    <row r="68" spans="2:9">
      <c r="B68">
        <v>211.55</v>
      </c>
      <c r="C68" t="s">
        <v>445</v>
      </c>
      <c r="D68" t="s">
        <v>446</v>
      </c>
      <c r="F68">
        <v>65.3</v>
      </c>
      <c r="G68" t="s">
        <v>442</v>
      </c>
      <c r="H68" t="s">
        <v>443</v>
      </c>
    </row>
    <row r="69" spans="2:9">
      <c r="B69">
        <v>201.6</v>
      </c>
      <c r="C69" t="s">
        <v>459</v>
      </c>
      <c r="D69" t="s">
        <v>460</v>
      </c>
      <c r="F69">
        <v>264.14999999999998</v>
      </c>
      <c r="G69" t="s">
        <v>442</v>
      </c>
      <c r="H69" t="s">
        <v>443</v>
      </c>
    </row>
    <row r="70" spans="2:9">
      <c r="B70">
        <v>50.4</v>
      </c>
      <c r="C70" t="s">
        <v>459</v>
      </c>
      <c r="D70" t="s">
        <v>460</v>
      </c>
      <c r="F70">
        <v>162.54</v>
      </c>
      <c r="G70" t="s">
        <v>442</v>
      </c>
      <c r="H70" t="s">
        <v>443</v>
      </c>
    </row>
    <row r="71" spans="2:9">
      <c r="B71">
        <v>10</v>
      </c>
      <c r="C71" t="s">
        <v>442</v>
      </c>
      <c r="D71" t="s">
        <v>443</v>
      </c>
      <c r="F71">
        <v>10</v>
      </c>
      <c r="G71" t="s">
        <v>442</v>
      </c>
      <c r="H71" t="s">
        <v>443</v>
      </c>
    </row>
    <row r="72" spans="2:9">
      <c r="B72">
        <v>120</v>
      </c>
      <c r="C72" t="s">
        <v>459</v>
      </c>
      <c r="D72" t="s">
        <v>460</v>
      </c>
      <c r="F72">
        <v>229.8</v>
      </c>
      <c r="G72" t="s">
        <v>442</v>
      </c>
      <c r="H72" t="s">
        <v>443</v>
      </c>
    </row>
    <row r="73" spans="2:9">
      <c r="B73">
        <v>69.08</v>
      </c>
      <c r="C73" t="s">
        <v>353</v>
      </c>
      <c r="D73" t="s">
        <v>444</v>
      </c>
      <c r="F73">
        <v>274.94</v>
      </c>
      <c r="G73" t="s">
        <v>442</v>
      </c>
      <c r="H73" t="s">
        <v>443</v>
      </c>
    </row>
    <row r="74" spans="2:9">
      <c r="B74">
        <v>74.8</v>
      </c>
      <c r="C74" t="s">
        <v>363</v>
      </c>
      <c r="D74" t="s">
        <v>444</v>
      </c>
      <c r="F74">
        <v>416.19</v>
      </c>
      <c r="G74" t="s">
        <v>442</v>
      </c>
      <c r="H74" t="s">
        <v>443</v>
      </c>
    </row>
    <row r="75" spans="2:9">
      <c r="B75">
        <v>70.400000000000006</v>
      </c>
      <c r="C75" t="s">
        <v>356</v>
      </c>
      <c r="D75" t="s">
        <v>444</v>
      </c>
      <c r="F75">
        <v>251.18</v>
      </c>
      <c r="G75" t="s">
        <v>442</v>
      </c>
      <c r="H75" t="s">
        <v>443</v>
      </c>
      <c r="I75">
        <f>SUM(F67:F75)</f>
        <v>2081.31</v>
      </c>
    </row>
    <row r="76" spans="2:9">
      <c r="B76">
        <v>16.53</v>
      </c>
      <c r="C76" t="s">
        <v>419</v>
      </c>
      <c r="D76" t="s">
        <v>446</v>
      </c>
      <c r="F76">
        <v>50.4</v>
      </c>
      <c r="G76" t="s">
        <v>459</v>
      </c>
      <c r="H76" t="s">
        <v>460</v>
      </c>
    </row>
    <row r="77" spans="2:9">
      <c r="B77">
        <v>158.94</v>
      </c>
      <c r="C77" t="s">
        <v>419</v>
      </c>
      <c r="D77" t="s">
        <v>446</v>
      </c>
      <c r="F77">
        <v>201.6</v>
      </c>
      <c r="G77" t="s">
        <v>459</v>
      </c>
      <c r="H77" t="s">
        <v>460</v>
      </c>
    </row>
    <row r="78" spans="2:9">
      <c r="B78">
        <v>64.239999999999995</v>
      </c>
      <c r="C78" t="s">
        <v>353</v>
      </c>
      <c r="D78" t="s">
        <v>444</v>
      </c>
      <c r="F78">
        <v>50.4</v>
      </c>
      <c r="G78" t="s">
        <v>459</v>
      </c>
      <c r="H78" t="s">
        <v>460</v>
      </c>
    </row>
    <row r="79" spans="2:9">
      <c r="B79">
        <v>81.84</v>
      </c>
      <c r="C79" t="s">
        <v>375</v>
      </c>
      <c r="D79" t="s">
        <v>444</v>
      </c>
      <c r="F79">
        <v>120</v>
      </c>
      <c r="G79" t="s">
        <v>459</v>
      </c>
      <c r="H79" t="s">
        <v>460</v>
      </c>
    </row>
    <row r="80" spans="2:9">
      <c r="B80">
        <v>80.959999999999994</v>
      </c>
      <c r="C80" t="s">
        <v>367</v>
      </c>
      <c r="D80" t="s">
        <v>444</v>
      </c>
      <c r="F80">
        <v>50.4</v>
      </c>
      <c r="G80" t="s">
        <v>459</v>
      </c>
      <c r="H80" t="s">
        <v>460</v>
      </c>
    </row>
    <row r="81" spans="2:9">
      <c r="B81">
        <v>74.8</v>
      </c>
      <c r="C81" t="s">
        <v>358</v>
      </c>
      <c r="D81" t="s">
        <v>444</v>
      </c>
      <c r="F81">
        <v>50.4</v>
      </c>
      <c r="G81" t="s">
        <v>459</v>
      </c>
      <c r="H81" t="s">
        <v>460</v>
      </c>
    </row>
    <row r="82" spans="2:9">
      <c r="B82">
        <v>36.08</v>
      </c>
      <c r="C82" t="s">
        <v>389</v>
      </c>
      <c r="D82" t="s">
        <v>444</v>
      </c>
      <c r="F82">
        <v>50</v>
      </c>
      <c r="G82" t="s">
        <v>459</v>
      </c>
      <c r="H82" t="s">
        <v>460</v>
      </c>
    </row>
    <row r="83" spans="2:9">
      <c r="B83">
        <v>70.400000000000006</v>
      </c>
      <c r="C83" t="s">
        <v>356</v>
      </c>
      <c r="D83" t="s">
        <v>444</v>
      </c>
      <c r="F83">
        <v>33.6</v>
      </c>
      <c r="G83" t="s">
        <v>459</v>
      </c>
      <c r="H83" t="s">
        <v>460</v>
      </c>
    </row>
    <row r="84" spans="2:9">
      <c r="B84">
        <v>80.959999999999994</v>
      </c>
      <c r="C84" t="s">
        <v>453</v>
      </c>
      <c r="D84" t="s">
        <v>444</v>
      </c>
      <c r="F84">
        <v>14.76</v>
      </c>
      <c r="G84" t="s">
        <v>459</v>
      </c>
      <c r="H84" t="s">
        <v>460</v>
      </c>
    </row>
    <row r="85" spans="2:9">
      <c r="B85">
        <v>44</v>
      </c>
      <c r="C85" t="s">
        <v>357</v>
      </c>
      <c r="D85" t="s">
        <v>444</v>
      </c>
      <c r="F85">
        <v>37.75</v>
      </c>
      <c r="G85" t="s">
        <v>459</v>
      </c>
      <c r="H85" t="s">
        <v>460</v>
      </c>
    </row>
    <row r="86" spans="2:9">
      <c r="B86">
        <v>419</v>
      </c>
      <c r="C86" t="s">
        <v>454</v>
      </c>
      <c r="D86" t="s">
        <v>446</v>
      </c>
      <c r="F86">
        <v>240</v>
      </c>
      <c r="G86" t="s">
        <v>459</v>
      </c>
      <c r="H86" t="s">
        <v>460</v>
      </c>
    </row>
    <row r="87" spans="2:9">
      <c r="B87">
        <v>229.8</v>
      </c>
      <c r="C87" t="s">
        <v>442</v>
      </c>
      <c r="D87" t="s">
        <v>443</v>
      </c>
      <c r="F87">
        <v>192</v>
      </c>
      <c r="G87" t="s">
        <v>459</v>
      </c>
      <c r="H87" t="s">
        <v>460</v>
      </c>
      <c r="I87">
        <f>SUM(F76:F87)</f>
        <v>1091.31</v>
      </c>
    </row>
    <row r="88" spans="2:9">
      <c r="B88">
        <v>62.92</v>
      </c>
      <c r="C88" t="s">
        <v>353</v>
      </c>
      <c r="D88" t="s">
        <v>444</v>
      </c>
      <c r="F88">
        <v>88.3</v>
      </c>
      <c r="G88" t="s">
        <v>445</v>
      </c>
      <c r="H88" t="s">
        <v>446</v>
      </c>
    </row>
    <row r="89" spans="2:9">
      <c r="B89">
        <v>81.84</v>
      </c>
      <c r="C89" t="s">
        <v>375</v>
      </c>
      <c r="D89" t="s">
        <v>444</v>
      </c>
      <c r="F89">
        <v>70.64</v>
      </c>
      <c r="G89" t="s">
        <v>409</v>
      </c>
      <c r="H89" t="s">
        <v>446</v>
      </c>
    </row>
    <row r="90" spans="2:9">
      <c r="B90">
        <v>74.8</v>
      </c>
      <c r="C90" t="s">
        <v>358</v>
      </c>
      <c r="D90" t="s">
        <v>444</v>
      </c>
      <c r="F90">
        <v>57.4</v>
      </c>
      <c r="G90" t="s">
        <v>447</v>
      </c>
      <c r="H90" t="s">
        <v>446</v>
      </c>
    </row>
    <row r="91" spans="2:9">
      <c r="B91">
        <v>80.959999999999994</v>
      </c>
      <c r="C91" t="s">
        <v>367</v>
      </c>
      <c r="D91" t="s">
        <v>444</v>
      </c>
      <c r="F91">
        <v>85.65</v>
      </c>
      <c r="G91" t="s">
        <v>448</v>
      </c>
      <c r="H91" t="s">
        <v>446</v>
      </c>
    </row>
    <row r="92" spans="2:9">
      <c r="B92">
        <v>70.400000000000006</v>
      </c>
      <c r="C92" t="s">
        <v>356</v>
      </c>
      <c r="D92" t="s">
        <v>444</v>
      </c>
      <c r="F92">
        <v>124.44</v>
      </c>
      <c r="G92" t="s">
        <v>445</v>
      </c>
      <c r="H92" t="s">
        <v>446</v>
      </c>
    </row>
    <row r="93" spans="2:9">
      <c r="B93">
        <v>50.4</v>
      </c>
      <c r="C93" t="s">
        <v>459</v>
      </c>
      <c r="D93" t="s">
        <v>460</v>
      </c>
      <c r="F93">
        <v>124.44</v>
      </c>
      <c r="G93" t="s">
        <v>449</v>
      </c>
      <c r="H93" t="s">
        <v>446</v>
      </c>
    </row>
    <row r="94" spans="2:9">
      <c r="B94">
        <v>50.4</v>
      </c>
      <c r="C94" t="s">
        <v>459</v>
      </c>
      <c r="D94" t="s">
        <v>460</v>
      </c>
      <c r="F94">
        <v>41.5</v>
      </c>
      <c r="G94" t="s">
        <v>450</v>
      </c>
      <c r="H94" t="s">
        <v>446</v>
      </c>
    </row>
    <row r="95" spans="2:9">
      <c r="B95">
        <v>65.34</v>
      </c>
      <c r="C95" t="s">
        <v>462</v>
      </c>
      <c r="D95" t="s">
        <v>446</v>
      </c>
      <c r="F95">
        <v>30.9</v>
      </c>
      <c r="G95" t="s">
        <v>451</v>
      </c>
      <c r="H95" t="s">
        <v>446</v>
      </c>
    </row>
    <row r="96" spans="2:9">
      <c r="B96">
        <v>85.65</v>
      </c>
      <c r="C96" t="s">
        <v>448</v>
      </c>
      <c r="D96" t="s">
        <v>446</v>
      </c>
      <c r="F96">
        <v>88.3</v>
      </c>
      <c r="G96" t="s">
        <v>445</v>
      </c>
      <c r="H96" t="s">
        <v>446</v>
      </c>
    </row>
    <row r="97" spans="2:8">
      <c r="B97">
        <v>57.4</v>
      </c>
      <c r="C97" t="s">
        <v>447</v>
      </c>
      <c r="D97" t="s">
        <v>446</v>
      </c>
      <c r="F97">
        <v>70.64</v>
      </c>
      <c r="G97" t="s">
        <v>409</v>
      </c>
      <c r="H97" t="s">
        <v>446</v>
      </c>
    </row>
    <row r="98" spans="2:8">
      <c r="B98">
        <v>70.64</v>
      </c>
      <c r="C98" t="s">
        <v>409</v>
      </c>
      <c r="D98" t="s">
        <v>446</v>
      </c>
      <c r="F98">
        <v>57.4</v>
      </c>
      <c r="G98" t="s">
        <v>447</v>
      </c>
      <c r="H98" t="s">
        <v>446</v>
      </c>
    </row>
    <row r="99" spans="2:8">
      <c r="B99">
        <v>88.3</v>
      </c>
      <c r="C99" t="s">
        <v>454</v>
      </c>
      <c r="D99" t="s">
        <v>446</v>
      </c>
      <c r="F99">
        <v>85.65</v>
      </c>
      <c r="G99" t="s">
        <v>448</v>
      </c>
      <c r="H99" t="s">
        <v>446</v>
      </c>
    </row>
    <row r="100" spans="2:8">
      <c r="B100">
        <v>129.47999999999999</v>
      </c>
      <c r="C100" t="s">
        <v>454</v>
      </c>
      <c r="D100" t="s">
        <v>446</v>
      </c>
      <c r="F100">
        <v>58.28</v>
      </c>
      <c r="G100" t="s">
        <v>452</v>
      </c>
      <c r="H100" t="s">
        <v>446</v>
      </c>
    </row>
    <row r="101" spans="2:8">
      <c r="B101">
        <v>50</v>
      </c>
      <c r="C101" t="s">
        <v>459</v>
      </c>
      <c r="D101" t="s">
        <v>460</v>
      </c>
      <c r="F101">
        <v>40.880000000000003</v>
      </c>
      <c r="G101" t="s">
        <v>452</v>
      </c>
      <c r="H101" t="s">
        <v>446</v>
      </c>
    </row>
    <row r="102" spans="2:8">
      <c r="B102">
        <v>274.94</v>
      </c>
      <c r="C102" t="s">
        <v>442</v>
      </c>
      <c r="D102" t="s">
        <v>443</v>
      </c>
      <c r="F102">
        <v>25.52</v>
      </c>
      <c r="G102" t="s">
        <v>426</v>
      </c>
      <c r="H102" t="s">
        <v>446</v>
      </c>
    </row>
    <row r="103" spans="2:8">
      <c r="B103">
        <v>70.64</v>
      </c>
      <c r="C103" t="s">
        <v>457</v>
      </c>
      <c r="D103" t="s">
        <v>446</v>
      </c>
      <c r="F103">
        <v>-88.3</v>
      </c>
      <c r="G103" t="s">
        <v>445</v>
      </c>
      <c r="H103" t="s">
        <v>446</v>
      </c>
    </row>
    <row r="104" spans="2:8">
      <c r="B104">
        <v>57.39</v>
      </c>
      <c r="C104" t="s">
        <v>455</v>
      </c>
      <c r="D104" t="s">
        <v>446</v>
      </c>
      <c r="F104">
        <v>-70.64</v>
      </c>
      <c r="G104" t="s">
        <v>409</v>
      </c>
      <c r="H104" t="s">
        <v>446</v>
      </c>
    </row>
    <row r="105" spans="2:8">
      <c r="B105">
        <v>37.090000000000003</v>
      </c>
      <c r="C105" t="s">
        <v>456</v>
      </c>
      <c r="D105" t="s">
        <v>446</v>
      </c>
      <c r="F105">
        <v>-57.4</v>
      </c>
      <c r="G105" t="s">
        <v>447</v>
      </c>
      <c r="H105" t="s">
        <v>446</v>
      </c>
    </row>
    <row r="106" spans="2:8">
      <c r="B106">
        <v>85.65</v>
      </c>
      <c r="C106" t="s">
        <v>448</v>
      </c>
      <c r="D106" t="s">
        <v>446</v>
      </c>
      <c r="F106">
        <v>-85.65</v>
      </c>
      <c r="G106" t="s">
        <v>448</v>
      </c>
      <c r="H106" t="s">
        <v>446</v>
      </c>
    </row>
    <row r="107" spans="2:8">
      <c r="B107">
        <v>70.64</v>
      </c>
      <c r="C107" t="s">
        <v>409</v>
      </c>
      <c r="D107" t="s">
        <v>446</v>
      </c>
      <c r="F107">
        <v>88.3</v>
      </c>
      <c r="G107" t="s">
        <v>454</v>
      </c>
      <c r="H107" t="s">
        <v>446</v>
      </c>
    </row>
    <row r="108" spans="2:8">
      <c r="B108">
        <v>57.39</v>
      </c>
      <c r="C108" t="s">
        <v>447</v>
      </c>
      <c r="D108" t="s">
        <v>446</v>
      </c>
      <c r="F108">
        <v>85.65</v>
      </c>
      <c r="G108" t="s">
        <v>448</v>
      </c>
      <c r="H108" t="s">
        <v>446</v>
      </c>
    </row>
    <row r="109" spans="2:8">
      <c r="B109">
        <v>88.3</v>
      </c>
      <c r="C109" t="s">
        <v>454</v>
      </c>
      <c r="D109" t="s">
        <v>446</v>
      </c>
      <c r="F109">
        <v>70.64</v>
      </c>
      <c r="G109" t="s">
        <v>409</v>
      </c>
      <c r="H109" t="s">
        <v>446</v>
      </c>
    </row>
    <row r="110" spans="2:8">
      <c r="B110">
        <v>88.3</v>
      </c>
      <c r="C110" t="s">
        <v>454</v>
      </c>
      <c r="D110" t="s">
        <v>446</v>
      </c>
      <c r="F110">
        <v>57.4</v>
      </c>
      <c r="G110" t="s">
        <v>447</v>
      </c>
      <c r="H110" t="s">
        <v>446</v>
      </c>
    </row>
    <row r="111" spans="2:8">
      <c r="B111">
        <v>90.58</v>
      </c>
      <c r="C111" t="s">
        <v>419</v>
      </c>
      <c r="D111" t="s">
        <v>446</v>
      </c>
      <c r="F111">
        <v>57.39</v>
      </c>
      <c r="G111" t="s">
        <v>455</v>
      </c>
      <c r="H111" t="s">
        <v>446</v>
      </c>
    </row>
    <row r="112" spans="2:8">
      <c r="B112">
        <v>52.98</v>
      </c>
      <c r="C112" t="s">
        <v>419</v>
      </c>
      <c r="D112" t="s">
        <v>446</v>
      </c>
      <c r="F112">
        <v>37.090000000000003</v>
      </c>
      <c r="G112" t="s">
        <v>456</v>
      </c>
      <c r="H112" t="s">
        <v>446</v>
      </c>
    </row>
    <row r="113" spans="2:8">
      <c r="B113">
        <v>33.6</v>
      </c>
      <c r="C113" t="s">
        <v>459</v>
      </c>
      <c r="D113" t="s">
        <v>460</v>
      </c>
      <c r="F113">
        <v>70.64</v>
      </c>
      <c r="G113" t="s">
        <v>457</v>
      </c>
      <c r="H113" t="s">
        <v>446</v>
      </c>
    </row>
    <row r="114" spans="2:8">
      <c r="B114">
        <v>416.19</v>
      </c>
      <c r="C114" t="s">
        <v>442</v>
      </c>
      <c r="D114" t="s">
        <v>443</v>
      </c>
      <c r="F114">
        <v>88.3</v>
      </c>
      <c r="G114" t="s">
        <v>445</v>
      </c>
      <c r="H114" t="s">
        <v>446</v>
      </c>
    </row>
    <row r="115" spans="2:8">
      <c r="B115">
        <v>14.76</v>
      </c>
      <c r="C115" t="s">
        <v>459</v>
      </c>
      <c r="D115" t="s">
        <v>460</v>
      </c>
      <c r="F115">
        <v>88.3</v>
      </c>
      <c r="G115" t="s">
        <v>454</v>
      </c>
      <c r="H115" t="s">
        <v>446</v>
      </c>
    </row>
    <row r="116" spans="2:8">
      <c r="B116">
        <v>37.75</v>
      </c>
      <c r="C116" t="s">
        <v>459</v>
      </c>
      <c r="D116" t="s">
        <v>460</v>
      </c>
      <c r="F116">
        <v>30.9</v>
      </c>
      <c r="G116" t="s">
        <v>450</v>
      </c>
      <c r="H116" t="s">
        <v>446</v>
      </c>
    </row>
    <row r="117" spans="2:8">
      <c r="B117">
        <v>240</v>
      </c>
      <c r="C117" t="s">
        <v>459</v>
      </c>
      <c r="D117" t="s">
        <v>460</v>
      </c>
      <c r="F117">
        <v>40</v>
      </c>
      <c r="G117" t="s">
        <v>461</v>
      </c>
      <c r="H117" t="s">
        <v>446</v>
      </c>
    </row>
    <row r="118" spans="2:8">
      <c r="B118">
        <v>192</v>
      </c>
      <c r="C118" t="s">
        <v>459</v>
      </c>
      <c r="D118" t="s">
        <v>460</v>
      </c>
      <c r="F118">
        <v>126.93</v>
      </c>
      <c r="G118" t="s">
        <v>449</v>
      </c>
      <c r="H118" t="s">
        <v>446</v>
      </c>
    </row>
    <row r="119" spans="2:8">
      <c r="B119">
        <v>251.18</v>
      </c>
      <c r="C119" t="s">
        <v>442</v>
      </c>
      <c r="D119" t="s">
        <v>443</v>
      </c>
      <c r="F119">
        <v>211.55</v>
      </c>
      <c r="G119" t="s">
        <v>445</v>
      </c>
      <c r="H119" t="s">
        <v>446</v>
      </c>
    </row>
    <row r="120" spans="2:8">
      <c r="B120">
        <v>60.51</v>
      </c>
      <c r="C120" t="s">
        <v>353</v>
      </c>
      <c r="D120" t="s">
        <v>444</v>
      </c>
      <c r="F120">
        <v>16.53</v>
      </c>
      <c r="G120" t="s">
        <v>419</v>
      </c>
      <c r="H120" t="s">
        <v>446</v>
      </c>
    </row>
    <row r="121" spans="2:8">
      <c r="B121">
        <v>62.29</v>
      </c>
      <c r="C121" t="s">
        <v>353</v>
      </c>
      <c r="D121" t="s">
        <v>444</v>
      </c>
      <c r="F121">
        <v>158.94</v>
      </c>
      <c r="G121" t="s">
        <v>419</v>
      </c>
      <c r="H121" t="s">
        <v>446</v>
      </c>
    </row>
    <row r="122" spans="2:8">
      <c r="B122">
        <v>71.180000000000007</v>
      </c>
      <c r="C122" t="s">
        <v>356</v>
      </c>
      <c r="D122" t="s">
        <v>444</v>
      </c>
      <c r="F122">
        <v>419</v>
      </c>
      <c r="G122" t="s">
        <v>454</v>
      </c>
      <c r="H122" t="s">
        <v>446</v>
      </c>
    </row>
    <row r="123" spans="2:8">
      <c r="B123">
        <v>71.180000000000007</v>
      </c>
      <c r="C123" t="s">
        <v>356</v>
      </c>
      <c r="D123" t="s">
        <v>444</v>
      </c>
      <c r="F123">
        <v>65.34</v>
      </c>
      <c r="G123" t="s">
        <v>462</v>
      </c>
      <c r="H123" t="s">
        <v>446</v>
      </c>
    </row>
    <row r="124" spans="2:8">
      <c r="B124">
        <v>40.04</v>
      </c>
      <c r="C124" t="s">
        <v>402</v>
      </c>
      <c r="D124" t="s">
        <v>444</v>
      </c>
      <c r="F124">
        <v>85.65</v>
      </c>
      <c r="G124" t="s">
        <v>448</v>
      </c>
      <c r="H124" t="s">
        <v>446</v>
      </c>
    </row>
    <row r="125" spans="2:8">
      <c r="B125">
        <v>44.49</v>
      </c>
      <c r="C125" t="s">
        <v>357</v>
      </c>
      <c r="D125" t="s">
        <v>444</v>
      </c>
      <c r="F125">
        <v>57.4</v>
      </c>
      <c r="G125" t="s">
        <v>447</v>
      </c>
      <c r="H125" t="s">
        <v>446</v>
      </c>
    </row>
    <row r="126" spans="2:8">
      <c r="B126">
        <v>82.75</v>
      </c>
      <c r="C126" t="s">
        <v>367</v>
      </c>
      <c r="D126" t="s">
        <v>444</v>
      </c>
      <c r="F126">
        <v>70.64</v>
      </c>
      <c r="G126" t="s">
        <v>409</v>
      </c>
      <c r="H126" t="s">
        <v>446</v>
      </c>
    </row>
    <row r="127" spans="2:8">
      <c r="B127">
        <v>75.63</v>
      </c>
      <c r="C127" t="s">
        <v>358</v>
      </c>
      <c r="D127" t="s">
        <v>444</v>
      </c>
      <c r="F127">
        <v>88.3</v>
      </c>
      <c r="G127" t="s">
        <v>454</v>
      </c>
      <c r="H127" t="s">
        <v>446</v>
      </c>
    </row>
    <row r="128" spans="2:8">
      <c r="B128">
        <v>23.7</v>
      </c>
      <c r="C128" t="s">
        <v>419</v>
      </c>
      <c r="D128" t="s">
        <v>446</v>
      </c>
      <c r="F128">
        <v>129.47999999999999</v>
      </c>
      <c r="G128" t="s">
        <v>454</v>
      </c>
      <c r="H128" t="s">
        <v>446</v>
      </c>
    </row>
    <row r="129" spans="2:9">
      <c r="B129">
        <v>57.84</v>
      </c>
      <c r="C129" t="s">
        <v>455</v>
      </c>
      <c r="D129" t="s">
        <v>446</v>
      </c>
      <c r="F129">
        <v>70.64</v>
      </c>
      <c r="G129" t="s">
        <v>457</v>
      </c>
      <c r="H129" t="s">
        <v>446</v>
      </c>
    </row>
    <row r="130" spans="2:9">
      <c r="B130">
        <v>37.369999999999997</v>
      </c>
      <c r="C130" t="s">
        <v>456</v>
      </c>
      <c r="D130" t="s">
        <v>463</v>
      </c>
      <c r="F130">
        <v>57.39</v>
      </c>
      <c r="G130" t="s">
        <v>455</v>
      </c>
      <c r="H130" t="s">
        <v>446</v>
      </c>
    </row>
    <row r="131" spans="2:9">
      <c r="B131">
        <v>71.180000000000007</v>
      </c>
      <c r="C131" t="s">
        <v>457</v>
      </c>
      <c r="D131" t="s">
        <v>446</v>
      </c>
      <c r="F131">
        <v>37.090000000000003</v>
      </c>
      <c r="G131" t="s">
        <v>456</v>
      </c>
      <c r="H131" t="s">
        <v>446</v>
      </c>
    </row>
    <row r="132" spans="2:9">
      <c r="B132">
        <v>88.98</v>
      </c>
      <c r="C132" t="s">
        <v>454</v>
      </c>
      <c r="D132" t="s">
        <v>446</v>
      </c>
      <c r="F132">
        <v>85.65</v>
      </c>
      <c r="G132" t="s">
        <v>448</v>
      </c>
      <c r="H132" t="s">
        <v>446</v>
      </c>
    </row>
    <row r="133" spans="2:9">
      <c r="B133">
        <v>90.76</v>
      </c>
      <c r="C133" t="s">
        <v>353</v>
      </c>
      <c r="D133" t="s">
        <v>444</v>
      </c>
      <c r="F133">
        <v>70.64</v>
      </c>
      <c r="G133" t="s">
        <v>409</v>
      </c>
      <c r="H133" t="s">
        <v>446</v>
      </c>
    </row>
    <row r="134" spans="2:9">
      <c r="B134">
        <v>75.63</v>
      </c>
      <c r="C134" t="s">
        <v>363</v>
      </c>
      <c r="D134" t="s">
        <v>444</v>
      </c>
      <c r="F134">
        <v>57.39</v>
      </c>
      <c r="G134" t="s">
        <v>447</v>
      </c>
      <c r="H134" t="s">
        <v>446</v>
      </c>
    </row>
    <row r="135" spans="2:9">
      <c r="B135">
        <v>40.04</v>
      </c>
      <c r="C135" t="s">
        <v>356</v>
      </c>
      <c r="D135" t="s">
        <v>444</v>
      </c>
      <c r="F135">
        <v>88.3</v>
      </c>
      <c r="G135" t="s">
        <v>454</v>
      </c>
      <c r="H135" t="s">
        <v>446</v>
      </c>
    </row>
    <row r="136" spans="2:9">
      <c r="B136">
        <v>44.49</v>
      </c>
      <c r="C136" t="s">
        <v>365</v>
      </c>
      <c r="D136" t="s">
        <v>444</v>
      </c>
      <c r="F136">
        <v>88.3</v>
      </c>
      <c r="G136" t="s">
        <v>454</v>
      </c>
      <c r="H136" t="s">
        <v>446</v>
      </c>
    </row>
    <row r="137" spans="2:9">
      <c r="B137">
        <v>123.43</v>
      </c>
      <c r="C137" t="s">
        <v>367</v>
      </c>
      <c r="D137" t="s">
        <v>444</v>
      </c>
      <c r="F137">
        <v>90.58</v>
      </c>
      <c r="G137" t="s">
        <v>419</v>
      </c>
      <c r="H137" t="s">
        <v>446</v>
      </c>
    </row>
    <row r="138" spans="2:9">
      <c r="B138">
        <v>72.709999999999994</v>
      </c>
      <c r="C138" t="s">
        <v>458</v>
      </c>
      <c r="D138" t="s">
        <v>444</v>
      </c>
      <c r="F138">
        <v>52.98</v>
      </c>
      <c r="G138" t="s">
        <v>419</v>
      </c>
      <c r="H138" t="s">
        <v>446</v>
      </c>
    </row>
    <row r="139" spans="2:9">
      <c r="B139">
        <v>54.72</v>
      </c>
      <c r="C139" t="s">
        <v>353</v>
      </c>
      <c r="D139" t="s">
        <v>444</v>
      </c>
      <c r="F139">
        <v>23.7</v>
      </c>
      <c r="G139" t="s">
        <v>419</v>
      </c>
      <c r="H139" t="s">
        <v>446</v>
      </c>
    </row>
    <row r="140" spans="2:9">
      <c r="B140">
        <v>88.98</v>
      </c>
      <c r="C140" t="s">
        <v>356</v>
      </c>
      <c r="D140" t="s">
        <v>444</v>
      </c>
      <c r="F140">
        <v>57.84</v>
      </c>
      <c r="G140" t="s">
        <v>455</v>
      </c>
      <c r="H140" t="s">
        <v>446</v>
      </c>
    </row>
    <row r="141" spans="2:9">
      <c r="B141">
        <v>47.16</v>
      </c>
      <c r="C141" t="s">
        <v>357</v>
      </c>
      <c r="D141" t="s">
        <v>444</v>
      </c>
      <c r="F141">
        <v>37.369999999999997</v>
      </c>
      <c r="G141" t="s">
        <v>456</v>
      </c>
      <c r="H141" t="s">
        <v>463</v>
      </c>
    </row>
    <row r="142" spans="2:9">
      <c r="B142">
        <v>80.08</v>
      </c>
      <c r="C142" t="s">
        <v>367</v>
      </c>
      <c r="D142" t="s">
        <v>444</v>
      </c>
      <c r="F142">
        <v>71.180000000000007</v>
      </c>
      <c r="G142" t="s">
        <v>457</v>
      </c>
      <c r="H142" t="s">
        <v>446</v>
      </c>
    </row>
    <row r="143" spans="2:9">
      <c r="B143">
        <v>64.069999999999993</v>
      </c>
      <c r="C143" t="s">
        <v>375</v>
      </c>
      <c r="D143" t="s">
        <v>444</v>
      </c>
      <c r="F143">
        <v>88.98</v>
      </c>
      <c r="G143" t="s">
        <v>454</v>
      </c>
      <c r="H143" t="s">
        <v>446</v>
      </c>
    </row>
    <row r="144" spans="2:9">
      <c r="B144">
        <v>74.3</v>
      </c>
      <c r="C144" t="s">
        <v>375</v>
      </c>
      <c r="D144" t="s">
        <v>444</v>
      </c>
      <c r="F144">
        <v>53.38</v>
      </c>
      <c r="G144" t="s">
        <v>419</v>
      </c>
      <c r="H144" t="s">
        <v>446</v>
      </c>
      <c r="I144">
        <f>SUM(F88:F144)</f>
        <v>3923.7300000000005</v>
      </c>
    </row>
    <row r="145" spans="2:4">
      <c r="B145">
        <v>53.38</v>
      </c>
      <c r="C145" t="s">
        <v>419</v>
      </c>
      <c r="D145" t="s">
        <v>446</v>
      </c>
    </row>
  </sheetData>
  <sortState xmlns:xlrd2="http://schemas.microsoft.com/office/spreadsheetml/2017/richdata2" ref="F1:H146">
    <sortCondition ref="H1:H146"/>
  </sortState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0DED-3A47-E54B-BFDA-1D938209D8B6}">
  <dimension ref="A1:P380"/>
  <sheetViews>
    <sheetView workbookViewId="0">
      <selection sqref="A1:XFD1048576"/>
    </sheetView>
  </sheetViews>
  <sheetFormatPr defaultColWidth="10.875" defaultRowHeight="21"/>
  <cols>
    <col min="1" max="1" width="1.375" style="10" customWidth="1"/>
    <col min="2" max="2" width="1" style="10" customWidth="1"/>
    <col min="3" max="3" width="8.125" style="11" customWidth="1"/>
    <col min="4" max="4" width="52.125" style="10" customWidth="1"/>
    <col min="5" max="5" width="23.375" style="10" hidden="1" customWidth="1"/>
    <col min="6" max="6" width="20.875" style="98" hidden="1" customWidth="1"/>
    <col min="7" max="7" width="26.625" style="100" hidden="1" customWidth="1"/>
    <col min="8" max="8" width="9.5" style="10" hidden="1" customWidth="1"/>
    <col min="9" max="9" width="15.125" style="10" bestFit="1" customWidth="1"/>
    <col min="10" max="10" width="16" style="10" bestFit="1" customWidth="1"/>
    <col min="11" max="11" width="9.375" style="12" bestFit="1" customWidth="1"/>
    <col min="12" max="12" width="3" style="12" customWidth="1"/>
    <col min="13" max="13" width="14" style="10" bestFit="1" customWidth="1"/>
    <col min="14" max="14" width="2.5" style="10" customWidth="1"/>
    <col min="15" max="15" width="9.875" style="10" customWidth="1"/>
    <col min="16" max="16" width="1.125" style="10" customWidth="1"/>
    <col min="17" max="16384" width="10.875" style="10"/>
  </cols>
  <sheetData>
    <row r="1" spans="2:16" ht="9" customHeight="1">
      <c r="D1" s="12"/>
      <c r="F1" s="80"/>
      <c r="G1" s="99"/>
      <c r="H1" s="13"/>
      <c r="I1" s="13"/>
      <c r="N1" s="14"/>
      <c r="P1" s="14"/>
    </row>
    <row r="2" spans="2:16">
      <c r="C2" s="15"/>
      <c r="D2" s="426" t="s">
        <v>464</v>
      </c>
      <c r="E2" s="426"/>
      <c r="F2" s="426"/>
      <c r="N2" s="14"/>
      <c r="P2" s="14"/>
    </row>
    <row r="3" spans="2:16">
      <c r="C3" s="15"/>
      <c r="D3" s="427" t="s">
        <v>465</v>
      </c>
      <c r="E3" s="427"/>
      <c r="F3" s="427"/>
      <c r="N3" s="14"/>
      <c r="P3" s="14"/>
    </row>
    <row r="4" spans="2:16" customFormat="1" ht="32.25" thickBot="1">
      <c r="C4" s="23"/>
      <c r="D4" s="24"/>
      <c r="E4" s="25" t="s">
        <v>48</v>
      </c>
      <c r="F4" s="81" t="s">
        <v>49</v>
      </c>
      <c r="G4" s="101"/>
      <c r="H4" s="25" t="s">
        <v>50</v>
      </c>
      <c r="I4" s="165">
        <v>45930</v>
      </c>
      <c r="J4" s="25" t="s">
        <v>243</v>
      </c>
      <c r="K4" s="26"/>
      <c r="L4" s="26"/>
      <c r="M4" s="78" t="s">
        <v>241</v>
      </c>
      <c r="N4" s="79"/>
      <c r="O4" s="78" t="s">
        <v>244</v>
      </c>
      <c r="P4" s="19"/>
    </row>
    <row r="5" spans="2:16" customFormat="1" ht="16.5" thickBot="1">
      <c r="B5" s="27" t="s">
        <v>55</v>
      </c>
      <c r="C5" s="28"/>
      <c r="D5" s="29"/>
      <c r="E5" s="30">
        <f>+E9</f>
        <v>13000</v>
      </c>
      <c r="F5" s="82">
        <f>+F9</f>
        <v>1217.28</v>
      </c>
      <c r="G5" s="102">
        <f>+F5/E5</f>
        <v>9.3636923076923076E-2</v>
      </c>
      <c r="H5" s="31"/>
      <c r="I5" s="31"/>
      <c r="J5" s="32">
        <f>+J9</f>
        <v>13000</v>
      </c>
      <c r="K5" s="33"/>
      <c r="L5" s="33"/>
      <c r="M5" s="30">
        <f>+M9</f>
        <v>13000</v>
      </c>
      <c r="N5" s="19"/>
      <c r="O5" s="30">
        <f>+O9</f>
        <v>13000</v>
      </c>
      <c r="P5" s="19"/>
    </row>
    <row r="6" spans="2:16" s="44" customFormat="1" ht="15">
      <c r="B6" s="363"/>
      <c r="C6" s="50">
        <v>601000</v>
      </c>
      <c r="D6" s="55" t="s">
        <v>89</v>
      </c>
      <c r="E6" s="65">
        <v>1500</v>
      </c>
      <c r="F6" s="83">
        <f>+H6</f>
        <v>0</v>
      </c>
      <c r="G6" s="103"/>
      <c r="H6" s="1">
        <v>0</v>
      </c>
      <c r="I6" s="1"/>
      <c r="J6" s="65">
        <v>1500</v>
      </c>
      <c r="K6" s="57"/>
      <c r="L6" s="57"/>
      <c r="M6" s="65">
        <v>1500</v>
      </c>
      <c r="N6" s="48"/>
      <c r="O6" s="65">
        <v>1500</v>
      </c>
      <c r="P6" s="48"/>
    </row>
    <row r="7" spans="2:16" s="44" customFormat="1" ht="15">
      <c r="B7" s="363"/>
      <c r="C7" s="45">
        <v>601000</v>
      </c>
      <c r="D7" s="46" t="s">
        <v>466</v>
      </c>
      <c r="E7" s="66">
        <v>10000</v>
      </c>
      <c r="F7" s="83">
        <f t="shared" ref="F7:F8" si="0">+H7</f>
        <v>666.97</v>
      </c>
      <c r="G7" s="103"/>
      <c r="H7" s="2">
        <v>666.97</v>
      </c>
      <c r="I7" s="2"/>
      <c r="J7" s="66">
        <v>10000</v>
      </c>
      <c r="K7" s="57"/>
      <c r="L7" s="57"/>
      <c r="M7" s="66">
        <v>10000</v>
      </c>
      <c r="N7" s="48"/>
      <c r="O7" s="66">
        <v>10000</v>
      </c>
      <c r="P7" s="48"/>
    </row>
    <row r="8" spans="2:16" s="44" customFormat="1" ht="15">
      <c r="B8" s="363"/>
      <c r="C8" s="45">
        <v>601000</v>
      </c>
      <c r="D8" s="46" t="s">
        <v>90</v>
      </c>
      <c r="E8" s="66">
        <v>1500</v>
      </c>
      <c r="F8" s="83">
        <f t="shared" si="0"/>
        <v>550.30999999999995</v>
      </c>
      <c r="G8" s="103"/>
      <c r="H8" s="2">
        <v>550.30999999999995</v>
      </c>
      <c r="I8" s="2"/>
      <c r="J8" s="66">
        <v>1500</v>
      </c>
      <c r="K8" s="57"/>
      <c r="L8" s="57"/>
      <c r="M8" s="66">
        <v>1500</v>
      </c>
      <c r="N8" s="48"/>
      <c r="O8" s="66">
        <v>1500</v>
      </c>
      <c r="P8" s="48"/>
    </row>
    <row r="9" spans="2:16" s="44" customFormat="1" ht="15">
      <c r="B9" s="363"/>
      <c r="C9" s="45">
        <v>601000</v>
      </c>
      <c r="D9" s="46" t="s">
        <v>91</v>
      </c>
      <c r="E9" s="52">
        <f>SUM(E6:E8)</f>
        <v>13000</v>
      </c>
      <c r="F9" s="84">
        <f>SUM(F6:F8)</f>
        <v>1217.28</v>
      </c>
      <c r="G9" s="104"/>
      <c r="H9" s="3">
        <v>1217.28</v>
      </c>
      <c r="I9" s="3">
        <v>13375.79</v>
      </c>
      <c r="J9" s="52">
        <f>SUM(J6:J8)</f>
        <v>13000</v>
      </c>
      <c r="K9" s="164">
        <f>(+I9/J9)-1</f>
        <v>2.8906923076923219E-2</v>
      </c>
      <c r="L9" s="53"/>
      <c r="M9" s="52">
        <f>SUM(M6:M8)</f>
        <v>13000</v>
      </c>
      <c r="N9" s="48"/>
      <c r="O9" s="52">
        <f>SUM(O6:O8)</f>
        <v>13000</v>
      </c>
      <c r="P9" s="48"/>
    </row>
    <row r="10" spans="2:16" s="44" customFormat="1" ht="6.95" customHeight="1">
      <c r="B10" s="363"/>
      <c r="C10" s="49"/>
      <c r="D10" s="47"/>
      <c r="E10" s="47"/>
      <c r="F10" s="85"/>
      <c r="G10" s="104"/>
      <c r="H10" s="47"/>
      <c r="I10" s="47"/>
      <c r="J10" s="47"/>
      <c r="K10" s="47"/>
      <c r="L10" s="47"/>
      <c r="M10" s="47"/>
      <c r="N10" s="48"/>
      <c r="O10" s="47"/>
      <c r="P10" s="48"/>
    </row>
    <row r="11" spans="2:16" customFormat="1" ht="32.25" thickBot="1">
      <c r="C11" s="23"/>
      <c r="D11" s="24"/>
      <c r="E11" s="25" t="str">
        <f>+E$4</f>
        <v>BUDGET 2024</v>
      </c>
      <c r="F11" s="81" t="str">
        <f>F$4</f>
        <v>Au 27/11/2024</v>
      </c>
      <c r="G11" s="101"/>
      <c r="H11" s="25" t="s">
        <v>50</v>
      </c>
      <c r="I11" s="165">
        <v>45930</v>
      </c>
      <c r="J11" s="25" t="str">
        <f>+J$4</f>
        <v>BUD 2025 base</v>
      </c>
      <c r="K11" s="26"/>
      <c r="L11" s="26"/>
      <c r="M11" s="78" t="str">
        <f>+M$4</f>
        <v>BUD 2025 Adeps A</v>
      </c>
      <c r="N11" s="79"/>
      <c r="O11" s="78" t="str">
        <f>+O$4</f>
        <v>BUD 2025 Adeps B</v>
      </c>
      <c r="P11" s="19"/>
    </row>
    <row r="12" spans="2:16" customFormat="1" ht="16.5" thickBot="1">
      <c r="B12" s="27" t="s">
        <v>57</v>
      </c>
      <c r="C12" s="28"/>
      <c r="D12" s="29"/>
      <c r="E12" s="34">
        <f>+E13+E14+E15+E16+E17+E19+E26+E27+E28+E35</f>
        <v>31622.06</v>
      </c>
      <c r="F12" s="86">
        <f>+F13+F14+F15+F16+F17+F18+F19+F26+F27+F28+F35</f>
        <v>29119.839999999997</v>
      </c>
      <c r="G12" s="102">
        <f>+F12/E12</f>
        <v>0.92087106279603526</v>
      </c>
      <c r="H12" s="31"/>
      <c r="I12" s="34">
        <f>+I13+I14+I15+I16+I17+I18+I19+I26+I27+I28+I35</f>
        <v>19256.170000000002</v>
      </c>
      <c r="J12" s="34">
        <f>+J13+J14+J15+J16+J17+J18+J19+J26+J27+J28+J35</f>
        <v>39300</v>
      </c>
      <c r="K12" s="164">
        <f>(+I12/J12)-1</f>
        <v>-0.51002111959287522</v>
      </c>
      <c r="L12" s="33"/>
      <c r="M12" s="34">
        <f>+M13+M14+M15+M16+M17+M18+M19+M26+M27+M28+M35</f>
        <v>39300</v>
      </c>
      <c r="N12" s="19"/>
      <c r="O12" s="34">
        <f>+O13+O14+O15+O16+O17+O18+O19+O26+O27+O28+O35</f>
        <v>39300</v>
      </c>
      <c r="P12" s="19"/>
    </row>
    <row r="13" spans="2:16" s="44" customFormat="1" ht="15">
      <c r="B13" s="363"/>
      <c r="C13" s="45">
        <v>610000</v>
      </c>
      <c r="D13" s="46" t="s">
        <v>467</v>
      </c>
      <c r="E13" s="54">
        <v>0</v>
      </c>
      <c r="F13" s="87">
        <f t="shared" ref="F13:F14" si="1">+H13</f>
        <v>0</v>
      </c>
      <c r="G13" s="104"/>
      <c r="H13" s="4">
        <v>0</v>
      </c>
      <c r="I13" s="4"/>
      <c r="J13" s="54">
        <v>0</v>
      </c>
      <c r="K13" s="164"/>
      <c r="L13" s="53"/>
      <c r="M13" s="54">
        <v>0</v>
      </c>
      <c r="N13" s="48"/>
      <c r="O13" s="54">
        <v>0</v>
      </c>
      <c r="P13" s="48"/>
    </row>
    <row r="14" spans="2:16" s="44" customFormat="1" ht="15">
      <c r="B14" s="363"/>
      <c r="C14" s="45">
        <v>610100</v>
      </c>
      <c r="D14" s="46" t="s">
        <v>468</v>
      </c>
      <c r="E14" s="54">
        <v>500</v>
      </c>
      <c r="F14" s="87">
        <f t="shared" si="1"/>
        <v>0</v>
      </c>
      <c r="G14" s="104"/>
      <c r="H14" s="4">
        <v>0</v>
      </c>
      <c r="I14" s="4"/>
      <c r="J14" s="54">
        <v>500</v>
      </c>
      <c r="K14" s="53"/>
      <c r="L14" s="53"/>
      <c r="M14" s="54">
        <v>500</v>
      </c>
      <c r="N14" s="48"/>
      <c r="O14" s="54">
        <v>500</v>
      </c>
      <c r="P14" s="48"/>
    </row>
    <row r="15" spans="2:16" s="44" customFormat="1" ht="15">
      <c r="B15" s="363"/>
      <c r="C15" s="45">
        <v>610200</v>
      </c>
      <c r="D15" s="46" t="s">
        <v>343</v>
      </c>
      <c r="E15" s="54">
        <v>1000</v>
      </c>
      <c r="F15" s="87">
        <f>+H15</f>
        <v>810</v>
      </c>
      <c r="G15" s="104"/>
      <c r="H15" s="4">
        <v>810</v>
      </c>
      <c r="I15" s="4">
        <v>90</v>
      </c>
      <c r="J15" s="54">
        <v>1000</v>
      </c>
      <c r="K15" s="164">
        <f>(+I15/J15)-1</f>
        <v>-0.91</v>
      </c>
      <c r="L15" s="53"/>
      <c r="M15" s="54">
        <v>1000</v>
      </c>
      <c r="N15" s="48"/>
      <c r="O15" s="54">
        <v>1000</v>
      </c>
      <c r="P15" s="48"/>
    </row>
    <row r="16" spans="2:16" s="44" customFormat="1" ht="15">
      <c r="B16" s="363"/>
      <c r="C16" s="45">
        <v>610300</v>
      </c>
      <c r="D16" s="46" t="s">
        <v>469</v>
      </c>
      <c r="E16" s="54">
        <v>0</v>
      </c>
      <c r="F16" s="87">
        <f t="shared" ref="F16:F19" si="2">+H16</f>
        <v>0</v>
      </c>
      <c r="G16" s="104"/>
      <c r="H16" s="4">
        <v>0</v>
      </c>
      <c r="I16" s="4"/>
      <c r="J16" s="54">
        <v>0</v>
      </c>
      <c r="K16" s="53"/>
      <c r="L16" s="53"/>
      <c r="M16" s="54">
        <v>0</v>
      </c>
      <c r="N16" s="48"/>
      <c r="O16" s="54">
        <v>0</v>
      </c>
      <c r="P16" s="48"/>
    </row>
    <row r="17" spans="3:16" s="44" customFormat="1" ht="15">
      <c r="C17" s="45">
        <v>610400</v>
      </c>
      <c r="D17" s="46" t="s">
        <v>470</v>
      </c>
      <c r="E17" s="54">
        <v>10000</v>
      </c>
      <c r="F17" s="87">
        <f t="shared" si="2"/>
        <v>3679.1099999999997</v>
      </c>
      <c r="G17" s="104"/>
      <c r="H17" s="4">
        <v>3679.1099999999997</v>
      </c>
      <c r="I17" s="4"/>
      <c r="J17" s="54">
        <v>10000</v>
      </c>
      <c r="K17" s="164"/>
      <c r="L17" s="53"/>
      <c r="M17" s="54">
        <v>10000</v>
      </c>
      <c r="N17" s="48"/>
      <c r="O17" s="54">
        <v>10000</v>
      </c>
      <c r="P17" s="48"/>
    </row>
    <row r="18" spans="3:16" s="44" customFormat="1" ht="15">
      <c r="C18" s="45">
        <v>610410</v>
      </c>
      <c r="D18" s="46" t="s">
        <v>471</v>
      </c>
      <c r="E18" s="72"/>
      <c r="F18" s="87">
        <f t="shared" si="2"/>
        <v>7612.65</v>
      </c>
      <c r="G18" s="104"/>
      <c r="H18" s="4">
        <v>7612.65</v>
      </c>
      <c r="I18" s="1">
        <v>7771.3</v>
      </c>
      <c r="J18" s="72">
        <v>9500</v>
      </c>
      <c r="K18" s="164">
        <f>(+I18/J18)-1</f>
        <v>-0.18196842105263156</v>
      </c>
      <c r="L18" s="53"/>
      <c r="M18" s="72">
        <v>9500</v>
      </c>
      <c r="N18" s="48"/>
      <c r="O18" s="72">
        <v>9500</v>
      </c>
      <c r="P18" s="48"/>
    </row>
    <row r="19" spans="3:16" s="44" customFormat="1" ht="15">
      <c r="C19" s="75">
        <v>610500</v>
      </c>
      <c r="D19" s="62" t="s">
        <v>472</v>
      </c>
      <c r="E19" s="72">
        <v>400</v>
      </c>
      <c r="F19" s="87">
        <f t="shared" si="2"/>
        <v>401.7</v>
      </c>
      <c r="G19" s="104"/>
      <c r="H19" s="4">
        <v>401.7</v>
      </c>
      <c r="I19" s="1">
        <v>485.97</v>
      </c>
      <c r="J19" s="72">
        <v>400</v>
      </c>
      <c r="K19" s="164">
        <f>(+I19/J19)-1</f>
        <v>0.21492500000000003</v>
      </c>
      <c r="L19" s="53"/>
      <c r="M19" s="72">
        <v>400</v>
      </c>
      <c r="N19" s="48"/>
      <c r="O19" s="72">
        <v>400</v>
      </c>
      <c r="P19" s="48"/>
    </row>
    <row r="20" spans="3:16" s="44" customFormat="1" ht="15">
      <c r="C20" s="372">
        <v>611000</v>
      </c>
      <c r="D20" s="373" t="s">
        <v>473</v>
      </c>
      <c r="E20" s="389">
        <v>1500</v>
      </c>
      <c r="F20" s="399">
        <f>+H20</f>
        <v>1775.5</v>
      </c>
      <c r="G20" s="105"/>
      <c r="H20" s="389">
        <v>1775.5</v>
      </c>
      <c r="I20" s="389"/>
      <c r="J20" s="389">
        <v>1500</v>
      </c>
      <c r="K20" s="396"/>
      <c r="L20" s="396"/>
      <c r="M20" s="389">
        <v>1500</v>
      </c>
      <c r="N20" s="48"/>
      <c r="O20" s="389">
        <v>1500</v>
      </c>
      <c r="P20" s="48"/>
    </row>
    <row r="21" spans="3:16" s="44" customFormat="1" ht="15">
      <c r="C21" s="374">
        <v>611000</v>
      </c>
      <c r="D21" s="369" t="s">
        <v>474</v>
      </c>
      <c r="E21" s="392">
        <v>1300</v>
      </c>
      <c r="F21" s="400">
        <f t="shared" ref="F21:F25" si="3">+H21</f>
        <v>1053.02</v>
      </c>
      <c r="G21" s="105"/>
      <c r="H21" s="392">
        <v>1053.02</v>
      </c>
      <c r="I21" s="392"/>
      <c r="J21" s="392">
        <v>1300</v>
      </c>
      <c r="K21" s="396"/>
      <c r="L21" s="396"/>
      <c r="M21" s="392">
        <v>1300</v>
      </c>
      <c r="N21" s="48"/>
      <c r="O21" s="392">
        <v>1300</v>
      </c>
      <c r="P21" s="48"/>
    </row>
    <row r="22" spans="3:16" s="44" customFormat="1" ht="15">
      <c r="C22" s="374">
        <v>611000</v>
      </c>
      <c r="D22" s="369" t="s">
        <v>475</v>
      </c>
      <c r="E22" s="369">
        <v>4000</v>
      </c>
      <c r="F22" s="400">
        <f t="shared" si="3"/>
        <v>4203.829999999999</v>
      </c>
      <c r="G22" s="105"/>
      <c r="H22" s="392">
        <v>4203.829999999999</v>
      </c>
      <c r="I22" s="392"/>
      <c r="J22" s="369">
        <v>4500</v>
      </c>
      <c r="K22" s="396"/>
      <c r="L22" s="396"/>
      <c r="M22" s="369">
        <v>4500</v>
      </c>
      <c r="N22" s="48"/>
      <c r="O22" s="369">
        <v>4500</v>
      </c>
      <c r="P22" s="48"/>
    </row>
    <row r="23" spans="3:16" s="44" customFormat="1" ht="15">
      <c r="C23" s="374">
        <v>611000</v>
      </c>
      <c r="D23" s="369" t="s">
        <v>476</v>
      </c>
      <c r="E23" s="369">
        <v>1000</v>
      </c>
      <c r="F23" s="400">
        <f t="shared" si="3"/>
        <v>0</v>
      </c>
      <c r="G23" s="105"/>
      <c r="H23" s="392">
        <v>0</v>
      </c>
      <c r="I23" s="392"/>
      <c r="J23" s="369">
        <v>1000</v>
      </c>
      <c r="K23" s="396"/>
      <c r="L23" s="396"/>
      <c r="M23" s="369">
        <v>1000</v>
      </c>
      <c r="N23" s="48"/>
      <c r="O23" s="369">
        <v>1000</v>
      </c>
      <c r="P23" s="48"/>
    </row>
    <row r="24" spans="3:16" s="44" customFormat="1" ht="15">
      <c r="C24" s="374">
        <v>611000</v>
      </c>
      <c r="D24" s="369" t="s">
        <v>477</v>
      </c>
      <c r="E24" s="369">
        <v>3600</v>
      </c>
      <c r="F24" s="400">
        <f t="shared" si="3"/>
        <v>2802.0299999999997</v>
      </c>
      <c r="G24" s="105"/>
      <c r="H24" s="392">
        <v>2802.0299999999997</v>
      </c>
      <c r="I24" s="392"/>
      <c r="J24" s="369">
        <v>4200</v>
      </c>
      <c r="K24" s="396"/>
      <c r="L24" s="396"/>
      <c r="M24" s="369">
        <v>4200</v>
      </c>
      <c r="N24" s="48"/>
      <c r="O24" s="369">
        <v>4200</v>
      </c>
      <c r="P24" s="48"/>
    </row>
    <row r="25" spans="3:16" s="44" customFormat="1" ht="15">
      <c r="C25" s="374">
        <v>611000</v>
      </c>
      <c r="D25" s="369" t="s">
        <v>478</v>
      </c>
      <c r="E25" s="369">
        <v>1000</v>
      </c>
      <c r="F25" s="400">
        <f t="shared" si="3"/>
        <v>242.77</v>
      </c>
      <c r="G25" s="105"/>
      <c r="H25" s="392">
        <v>242.77</v>
      </c>
      <c r="I25" s="392"/>
      <c r="J25" s="369">
        <v>1000</v>
      </c>
      <c r="K25" s="396"/>
      <c r="L25" s="396"/>
      <c r="M25" s="369">
        <v>1000</v>
      </c>
      <c r="N25" s="48"/>
      <c r="O25" s="369">
        <v>1000</v>
      </c>
      <c r="P25" s="48"/>
    </row>
    <row r="26" spans="3:16" s="44" customFormat="1" ht="15">
      <c r="C26" s="50">
        <v>611000</v>
      </c>
      <c r="D26" s="55" t="s">
        <v>479</v>
      </c>
      <c r="E26" s="52">
        <f>SUM(E20:E25)</f>
        <v>12400</v>
      </c>
      <c r="F26" s="84">
        <f>SUM(F20:F25)</f>
        <v>10077.149999999998</v>
      </c>
      <c r="G26" s="104"/>
      <c r="H26" s="3">
        <v>10077.15</v>
      </c>
      <c r="I26" s="3">
        <v>9244.2999999999993</v>
      </c>
      <c r="J26" s="52">
        <f>SUM(J20:J25)</f>
        <v>13500</v>
      </c>
      <c r="K26" s="164">
        <f>(+I26/J26)-1</f>
        <v>-0.31523703703703709</v>
      </c>
      <c r="L26" s="53"/>
      <c r="M26" s="52">
        <f>SUM(M20:M25)</f>
        <v>13500</v>
      </c>
      <c r="N26" s="48"/>
      <c r="O26" s="52">
        <f>SUM(O20:O25)</f>
        <v>13500</v>
      </c>
      <c r="P26" s="48"/>
    </row>
    <row r="27" spans="3:16" s="44" customFormat="1" ht="15">
      <c r="C27" s="45">
        <v>611010</v>
      </c>
      <c r="D27" s="46" t="s">
        <v>480</v>
      </c>
      <c r="E27" s="54">
        <v>700</v>
      </c>
      <c r="F27" s="87">
        <f>+H27</f>
        <v>841.32</v>
      </c>
      <c r="G27" s="104"/>
      <c r="H27" s="4">
        <v>841.32</v>
      </c>
      <c r="I27" s="4">
        <v>730.4</v>
      </c>
      <c r="J27" s="54">
        <v>900</v>
      </c>
      <c r="K27" s="164">
        <f>(+I27/J27)-1</f>
        <v>-0.18844444444444441</v>
      </c>
      <c r="L27" s="53"/>
      <c r="M27" s="54">
        <v>900</v>
      </c>
      <c r="N27" s="48"/>
      <c r="O27" s="54">
        <v>900</v>
      </c>
      <c r="P27" s="48"/>
    </row>
    <row r="28" spans="3:16" s="44" customFormat="1" ht="15">
      <c r="C28" s="45">
        <v>611100</v>
      </c>
      <c r="D28" s="62" t="s">
        <v>481</v>
      </c>
      <c r="E28" s="54">
        <v>500</v>
      </c>
      <c r="F28" s="87">
        <f>+H28</f>
        <v>2503.9299999999998</v>
      </c>
      <c r="G28" s="104"/>
      <c r="H28" s="4">
        <v>2503.9299999999998</v>
      </c>
      <c r="I28" s="4"/>
      <c r="J28" s="54">
        <v>500</v>
      </c>
      <c r="K28" s="53"/>
      <c r="L28" s="53"/>
      <c r="M28" s="54">
        <v>500</v>
      </c>
      <c r="N28" s="48"/>
      <c r="O28" s="54">
        <v>500</v>
      </c>
      <c r="P28" s="48"/>
    </row>
    <row r="29" spans="3:16" s="44" customFormat="1" ht="15">
      <c r="C29" s="384">
        <v>611200</v>
      </c>
      <c r="D29" s="373" t="s">
        <v>482</v>
      </c>
      <c r="E29" s="389">
        <v>0</v>
      </c>
      <c r="F29" s="399">
        <f t="shared" ref="F29:F34" si="4">+H29</f>
        <v>0</v>
      </c>
      <c r="G29" s="105"/>
      <c r="H29" s="389">
        <v>0</v>
      </c>
      <c r="I29" s="389"/>
      <c r="J29" s="389">
        <v>0</v>
      </c>
      <c r="K29" s="396"/>
      <c r="L29" s="396"/>
      <c r="M29" s="389">
        <v>0</v>
      </c>
      <c r="N29" s="48"/>
      <c r="O29" s="389">
        <v>0</v>
      </c>
      <c r="P29" s="48"/>
    </row>
    <row r="30" spans="3:16" s="44" customFormat="1" ht="15">
      <c r="C30" s="375">
        <v>611200</v>
      </c>
      <c r="D30" s="369" t="s">
        <v>483</v>
      </c>
      <c r="E30" s="392">
        <v>1000</v>
      </c>
      <c r="F30" s="400">
        <f t="shared" si="4"/>
        <v>961.36</v>
      </c>
      <c r="G30" s="105"/>
      <c r="H30" s="392">
        <v>961.36</v>
      </c>
      <c r="I30" s="392">
        <v>934.2</v>
      </c>
      <c r="J30" s="392">
        <v>2000</v>
      </c>
      <c r="K30" s="164">
        <f>(+I30/J30)-1</f>
        <v>-0.53289999999999993</v>
      </c>
      <c r="L30" s="396"/>
      <c r="M30" s="392">
        <v>2000</v>
      </c>
      <c r="N30" s="48"/>
      <c r="O30" s="392">
        <v>2000</v>
      </c>
      <c r="P30" s="48"/>
    </row>
    <row r="31" spans="3:16" s="44" customFormat="1" ht="15">
      <c r="C31" s="375">
        <v>611200</v>
      </c>
      <c r="D31" s="369" t="s">
        <v>484</v>
      </c>
      <c r="E31" s="392">
        <v>2681.78</v>
      </c>
      <c r="F31" s="400">
        <f t="shared" si="4"/>
        <v>0</v>
      </c>
      <c r="G31" s="105"/>
      <c r="H31" s="392">
        <v>0</v>
      </c>
      <c r="I31" s="392"/>
      <c r="J31" s="392">
        <v>0</v>
      </c>
      <c r="K31" s="396"/>
      <c r="L31" s="396"/>
      <c r="M31" s="392">
        <v>0</v>
      </c>
      <c r="N31" s="48"/>
      <c r="O31" s="392">
        <v>0</v>
      </c>
      <c r="P31" s="48"/>
    </row>
    <row r="32" spans="3:16" s="44" customFormat="1" ht="15">
      <c r="C32" s="375">
        <v>611200</v>
      </c>
      <c r="D32" s="369" t="s">
        <v>485</v>
      </c>
      <c r="E32" s="392">
        <v>855.2</v>
      </c>
      <c r="F32" s="400">
        <f t="shared" si="4"/>
        <v>1175.9000000000001</v>
      </c>
      <c r="G32" s="105"/>
      <c r="H32" s="392">
        <v>1175.9000000000001</v>
      </c>
      <c r="I32" s="392"/>
      <c r="J32" s="392">
        <v>0</v>
      </c>
      <c r="K32" s="396"/>
      <c r="L32" s="396"/>
      <c r="M32" s="392">
        <v>0</v>
      </c>
      <c r="N32" s="48"/>
      <c r="O32" s="392">
        <v>0</v>
      </c>
      <c r="P32" s="48"/>
    </row>
    <row r="33" spans="2:16" s="44" customFormat="1" ht="15">
      <c r="B33" s="363"/>
      <c r="C33" s="375">
        <v>611200</v>
      </c>
      <c r="D33" s="369" t="s">
        <v>486</v>
      </c>
      <c r="E33" s="392">
        <v>1585.08</v>
      </c>
      <c r="F33" s="400">
        <f t="shared" si="4"/>
        <v>1056.72</v>
      </c>
      <c r="G33" s="105"/>
      <c r="H33" s="392">
        <v>1056.72</v>
      </c>
      <c r="I33" s="392"/>
      <c r="J33" s="392">
        <v>1000</v>
      </c>
      <c r="K33" s="396"/>
      <c r="L33" s="396"/>
      <c r="M33" s="392">
        <v>1000</v>
      </c>
      <c r="N33" s="48"/>
      <c r="O33" s="392">
        <v>1000</v>
      </c>
      <c r="P33" s="48"/>
    </row>
    <row r="34" spans="2:16" s="44" customFormat="1" ht="15">
      <c r="B34" s="363"/>
      <c r="C34" s="375">
        <v>611200</v>
      </c>
      <c r="D34" s="369" t="s">
        <v>487</v>
      </c>
      <c r="E34" s="392">
        <v>0</v>
      </c>
      <c r="F34" s="400">
        <f t="shared" si="4"/>
        <v>0</v>
      </c>
      <c r="G34" s="105"/>
      <c r="H34" s="392">
        <v>0</v>
      </c>
      <c r="I34" s="392"/>
      <c r="J34" s="392">
        <v>0</v>
      </c>
      <c r="K34" s="396"/>
      <c r="L34" s="396"/>
      <c r="M34" s="392">
        <v>0</v>
      </c>
      <c r="N34" s="48"/>
      <c r="O34" s="392">
        <v>0</v>
      </c>
      <c r="P34" s="48"/>
    </row>
    <row r="35" spans="2:16" s="44" customFormat="1" ht="15">
      <c r="B35" s="363"/>
      <c r="C35" s="76">
        <v>611200</v>
      </c>
      <c r="D35" s="77" t="s">
        <v>96</v>
      </c>
      <c r="E35" s="52">
        <f>SUM(E29:E34)</f>
        <v>6122.06</v>
      </c>
      <c r="F35" s="84">
        <f>SUM(F29:F34)</f>
        <v>3193.9800000000005</v>
      </c>
      <c r="G35" s="104"/>
      <c r="H35" s="3">
        <v>3193.9800000000005</v>
      </c>
      <c r="I35" s="52">
        <f>SUM(I29:I34)</f>
        <v>934.2</v>
      </c>
      <c r="J35" s="52">
        <f>SUM(J29:J34)</f>
        <v>3000</v>
      </c>
      <c r="K35" s="53"/>
      <c r="L35" s="53"/>
      <c r="M35" s="52">
        <f>SUM(M29:M34)</f>
        <v>3000</v>
      </c>
      <c r="N35" s="48"/>
      <c r="O35" s="52">
        <f>SUM(O29:O34)</f>
        <v>3000</v>
      </c>
      <c r="P35" s="48"/>
    </row>
    <row r="36" spans="2:16" s="44" customFormat="1" ht="15">
      <c r="B36" s="363"/>
      <c r="C36" s="49"/>
      <c r="D36" s="47"/>
      <c r="E36" s="47"/>
      <c r="F36" s="85"/>
      <c r="G36" s="104"/>
      <c r="H36" s="47"/>
      <c r="I36" s="47"/>
      <c r="J36" s="47"/>
      <c r="K36" s="47"/>
      <c r="L36" s="47"/>
      <c r="M36" s="47"/>
      <c r="N36" s="48"/>
      <c r="O36" s="47"/>
      <c r="P36" s="48"/>
    </row>
    <row r="37" spans="2:16" customFormat="1" ht="32.25" thickBot="1">
      <c r="C37" s="23"/>
      <c r="D37" s="24"/>
      <c r="E37" s="25" t="str">
        <f>+E$4</f>
        <v>BUDGET 2024</v>
      </c>
      <c r="F37" s="81" t="str">
        <f>F$4</f>
        <v>Au 27/11/2024</v>
      </c>
      <c r="G37" s="101"/>
      <c r="H37" s="25" t="s">
        <v>50</v>
      </c>
      <c r="I37" s="165">
        <v>45930</v>
      </c>
      <c r="J37" s="25" t="str">
        <f>+J$4</f>
        <v>BUD 2025 base</v>
      </c>
      <c r="K37" s="26"/>
      <c r="L37" s="26"/>
      <c r="M37" s="78" t="str">
        <f>+M$4</f>
        <v>BUD 2025 Adeps A</v>
      </c>
      <c r="N37" s="79"/>
      <c r="O37" s="78" t="str">
        <f>+O$4</f>
        <v>BUD 2025 Adeps B</v>
      </c>
      <c r="P37" s="19"/>
    </row>
    <row r="38" spans="2:16" customFormat="1" ht="16.5" thickBot="1">
      <c r="B38" s="27" t="s">
        <v>59</v>
      </c>
      <c r="C38" s="36"/>
      <c r="D38" s="29"/>
      <c r="E38" s="37">
        <f>+E39+E40+E41+E42+E45+E46+E47+E65+E66+E67</f>
        <v>49995</v>
      </c>
      <c r="F38" s="86">
        <f>+F39+F40+F41+F42+F45+F46+F47+F65+F66+F67</f>
        <v>49886.81</v>
      </c>
      <c r="G38" s="102">
        <f>+F38/E38</f>
        <v>0.99783598359835979</v>
      </c>
      <c r="H38" s="31"/>
      <c r="I38" s="37">
        <f>+I39+I40+I41+I42+I45+I46+I47+I65+I66+I67</f>
        <v>50148.919999999991</v>
      </c>
      <c r="J38" s="37">
        <f>+J39+J40+J41+J42+J45+J46+J47+J65+J66+J67</f>
        <v>63380</v>
      </c>
      <c r="K38" s="164">
        <f>(+I38/J38)-1</f>
        <v>-0.20875796781319045</v>
      </c>
      <c r="L38" s="33"/>
      <c r="M38" s="37">
        <f>+M39+M40+M41+M42+M45+M46+M47+M65+M66+M67</f>
        <v>63380</v>
      </c>
      <c r="N38" s="19"/>
      <c r="O38" s="37">
        <f>+O39+O40+O41+O42+O45+O46+O47+O65+O66+O67</f>
        <v>63380</v>
      </c>
      <c r="P38" s="19"/>
    </row>
    <row r="39" spans="2:16" s="44" customFormat="1" ht="15">
      <c r="B39" s="363"/>
      <c r="C39" s="45">
        <v>612000</v>
      </c>
      <c r="D39" s="46" t="s">
        <v>488</v>
      </c>
      <c r="E39" s="54">
        <v>400</v>
      </c>
      <c r="F39" s="87">
        <f t="shared" ref="F39:F42" si="5">+H39</f>
        <v>298.55</v>
      </c>
      <c r="G39" s="104"/>
      <c r="H39" s="4">
        <v>298.55</v>
      </c>
      <c r="I39" s="4">
        <v>140.65</v>
      </c>
      <c r="J39" s="54">
        <v>400</v>
      </c>
      <c r="K39" s="164">
        <f>(+I39/J39)-1</f>
        <v>-0.64837499999999992</v>
      </c>
      <c r="L39" s="53"/>
      <c r="M39" s="54">
        <v>400</v>
      </c>
      <c r="N39" s="48"/>
      <c r="O39" s="54">
        <v>400</v>
      </c>
      <c r="P39" s="48"/>
    </row>
    <row r="40" spans="2:16" s="44" customFormat="1" ht="15">
      <c r="B40" s="363"/>
      <c r="C40" s="45">
        <v>612200</v>
      </c>
      <c r="D40" s="46" t="s">
        <v>489</v>
      </c>
      <c r="E40" s="54">
        <v>5000</v>
      </c>
      <c r="F40" s="87">
        <f t="shared" si="5"/>
        <v>1813.8400000000001</v>
      </c>
      <c r="G40" s="104"/>
      <c r="H40" s="4">
        <v>1813.8400000000001</v>
      </c>
      <c r="I40" s="4">
        <v>1569.68</v>
      </c>
      <c r="J40" s="54">
        <v>5000</v>
      </c>
      <c r="K40" s="164">
        <f>(+I40/J40)-1</f>
        <v>-0.68606400000000001</v>
      </c>
      <c r="L40" s="53"/>
      <c r="M40" s="54">
        <v>5000</v>
      </c>
      <c r="N40" s="48"/>
      <c r="O40" s="54">
        <v>5000</v>
      </c>
      <c r="P40" s="48"/>
    </row>
    <row r="41" spans="2:16" s="44" customFormat="1" ht="15">
      <c r="B41" s="363"/>
      <c r="C41" s="45">
        <v>612300</v>
      </c>
      <c r="D41" s="46" t="s">
        <v>490</v>
      </c>
      <c r="E41" s="54">
        <v>10000</v>
      </c>
      <c r="F41" s="87">
        <f t="shared" si="5"/>
        <v>9579.8599999999988</v>
      </c>
      <c r="G41" s="104"/>
      <c r="H41" s="4">
        <v>9579.8599999999988</v>
      </c>
      <c r="I41" s="4">
        <v>8680.06</v>
      </c>
      <c r="J41" s="54">
        <v>10000</v>
      </c>
      <c r="K41" s="164">
        <f>(+I41/J41)-1</f>
        <v>-0.13199400000000006</v>
      </c>
      <c r="L41" s="53"/>
      <c r="M41" s="54">
        <v>10000</v>
      </c>
      <c r="N41" s="48"/>
      <c r="O41" s="54">
        <v>10000</v>
      </c>
      <c r="P41" s="48"/>
    </row>
    <row r="42" spans="2:16" s="44" customFormat="1" ht="15">
      <c r="B42" s="363"/>
      <c r="C42" s="45">
        <v>612400</v>
      </c>
      <c r="D42" s="46" t="s">
        <v>491</v>
      </c>
      <c r="E42" s="72">
        <v>6000</v>
      </c>
      <c r="F42" s="87">
        <f t="shared" si="5"/>
        <v>5430.5300000000007</v>
      </c>
      <c r="G42" s="104"/>
      <c r="H42" s="4">
        <v>5430.5300000000007</v>
      </c>
      <c r="I42" s="1">
        <v>1810.72</v>
      </c>
      <c r="J42" s="72">
        <v>6000</v>
      </c>
      <c r="K42" s="164">
        <f>(+I42/J42)-1</f>
        <v>-0.69821333333333335</v>
      </c>
      <c r="L42" s="53"/>
      <c r="M42" s="72">
        <v>6000</v>
      </c>
      <c r="N42" s="48"/>
      <c r="O42" s="72">
        <v>6000</v>
      </c>
      <c r="P42" s="48"/>
    </row>
    <row r="43" spans="2:16" s="44" customFormat="1" ht="15">
      <c r="B43" s="363"/>
      <c r="C43" s="372">
        <v>612500</v>
      </c>
      <c r="D43" s="373" t="s">
        <v>492</v>
      </c>
      <c r="E43" s="65">
        <v>1750</v>
      </c>
      <c r="F43" s="399">
        <f>+H43</f>
        <v>406.96</v>
      </c>
      <c r="G43" s="105"/>
      <c r="H43" s="389">
        <v>406.96</v>
      </c>
      <c r="I43" s="389"/>
      <c r="J43" s="65">
        <v>1750</v>
      </c>
      <c r="K43" s="57"/>
      <c r="L43" s="57"/>
      <c r="M43" s="65">
        <v>1750</v>
      </c>
      <c r="N43" s="48"/>
      <c r="O43" s="65">
        <v>1750</v>
      </c>
      <c r="P43" s="48"/>
    </row>
    <row r="44" spans="2:16" s="44" customFormat="1" ht="15">
      <c r="B44" s="363"/>
      <c r="C44" s="374">
        <v>612500</v>
      </c>
      <c r="D44" s="401" t="s">
        <v>493</v>
      </c>
      <c r="E44" s="66">
        <v>1500</v>
      </c>
      <c r="F44" s="402">
        <f>+H44</f>
        <v>1205.3999999999999</v>
      </c>
      <c r="G44" s="100"/>
      <c r="H44" s="391">
        <v>1205.3999999999999</v>
      </c>
      <c r="I44" s="391"/>
      <c r="J44" s="66">
        <v>1500</v>
      </c>
      <c r="K44" s="57"/>
      <c r="L44" s="57"/>
      <c r="M44" s="66">
        <v>1500</v>
      </c>
      <c r="N44" s="48"/>
      <c r="O44" s="66">
        <v>1500</v>
      </c>
      <c r="P44" s="48"/>
    </row>
    <row r="45" spans="2:16" s="44" customFormat="1" ht="15">
      <c r="B45" s="363"/>
      <c r="C45" s="50">
        <v>612500</v>
      </c>
      <c r="D45" s="55" t="s">
        <v>494</v>
      </c>
      <c r="E45" s="70">
        <f>SUM(E43:E44)</f>
        <v>3250</v>
      </c>
      <c r="F45" s="84">
        <f>SUM(F43:F44)</f>
        <v>1612.36</v>
      </c>
      <c r="G45" s="104"/>
      <c r="H45" s="3">
        <v>1612.36</v>
      </c>
      <c r="I45" s="161">
        <v>1556.12</v>
      </c>
      <c r="J45" s="70">
        <f>SUM(J43:J44)</f>
        <v>3250</v>
      </c>
      <c r="K45" s="164">
        <f>(+I45/J45)-1</f>
        <v>-0.52119384615384612</v>
      </c>
      <c r="L45" s="53"/>
      <c r="M45" s="70">
        <f>SUM(M43:M44)</f>
        <v>3250</v>
      </c>
      <c r="N45" s="48"/>
      <c r="O45" s="70">
        <f>SUM(O43:O44)</f>
        <v>3250</v>
      </c>
      <c r="P45" s="48"/>
    </row>
    <row r="46" spans="2:16" s="44" customFormat="1" ht="15">
      <c r="B46" s="363"/>
      <c r="C46" s="45">
        <v>612510</v>
      </c>
      <c r="D46" s="46" t="s">
        <v>495</v>
      </c>
      <c r="E46" s="60">
        <v>1000</v>
      </c>
      <c r="F46" s="87">
        <f t="shared" ref="F46:F47" si="6">+H46</f>
        <v>524.13</v>
      </c>
      <c r="G46" s="104"/>
      <c r="H46" s="4">
        <v>524.13</v>
      </c>
      <c r="I46" s="4">
        <v>99.47</v>
      </c>
      <c r="J46" s="60">
        <v>1000</v>
      </c>
      <c r="K46" s="164">
        <f>(+I46/J46)-1</f>
        <v>-0.90053000000000005</v>
      </c>
      <c r="L46" s="53"/>
      <c r="M46" s="60">
        <v>1000</v>
      </c>
      <c r="N46" s="48"/>
      <c r="O46" s="60">
        <v>1000</v>
      </c>
      <c r="P46" s="48"/>
    </row>
    <row r="47" spans="2:16" s="44" customFormat="1" ht="15">
      <c r="B47" s="363"/>
      <c r="C47" s="45">
        <v>612520</v>
      </c>
      <c r="D47" s="46" t="s">
        <v>496</v>
      </c>
      <c r="E47" s="54">
        <v>1000</v>
      </c>
      <c r="F47" s="87">
        <f t="shared" si="6"/>
        <v>0</v>
      </c>
      <c r="G47" s="104"/>
      <c r="H47" s="4">
        <v>0</v>
      </c>
      <c r="I47" s="4"/>
      <c r="J47" s="54">
        <v>1000</v>
      </c>
      <c r="K47" s="53"/>
      <c r="L47" s="53"/>
      <c r="M47" s="54">
        <v>1000</v>
      </c>
      <c r="N47" s="48"/>
      <c r="O47" s="54">
        <v>1000</v>
      </c>
      <c r="P47" s="48"/>
    </row>
    <row r="48" spans="2:16" s="44" customFormat="1" ht="15">
      <c r="B48" s="363"/>
      <c r="C48" s="372">
        <v>612530</v>
      </c>
      <c r="D48" s="373" t="s">
        <v>497</v>
      </c>
      <c r="E48" s="389">
        <v>0</v>
      </c>
      <c r="F48" s="399">
        <f>+H48</f>
        <v>0</v>
      </c>
      <c r="G48" s="105"/>
      <c r="H48" s="389">
        <v>0</v>
      </c>
      <c r="I48" s="389"/>
      <c r="J48" s="389">
        <v>0</v>
      </c>
      <c r="K48" s="396"/>
      <c r="L48" s="396"/>
      <c r="M48" s="389">
        <v>0</v>
      </c>
      <c r="N48" s="48"/>
      <c r="O48" s="389">
        <v>0</v>
      </c>
      <c r="P48" s="48"/>
    </row>
    <row r="49" spans="3:16" s="44" customFormat="1" ht="15">
      <c r="C49" s="374">
        <v>612530</v>
      </c>
      <c r="D49" s="369" t="s">
        <v>498</v>
      </c>
      <c r="E49" s="392">
        <v>1500</v>
      </c>
      <c r="F49" s="400">
        <f>+H49</f>
        <v>859.77</v>
      </c>
      <c r="G49" s="105"/>
      <c r="H49" s="392">
        <v>859.77</v>
      </c>
      <c r="I49" s="392"/>
      <c r="J49" s="392">
        <v>1500</v>
      </c>
      <c r="K49" s="396"/>
      <c r="L49" s="396"/>
      <c r="M49" s="392">
        <v>1500</v>
      </c>
      <c r="N49" s="48"/>
      <c r="O49" s="392">
        <v>1500</v>
      </c>
      <c r="P49" s="48"/>
    </row>
    <row r="50" spans="3:16" s="44" customFormat="1" ht="15">
      <c r="C50" s="374">
        <v>612530</v>
      </c>
      <c r="D50" s="369" t="s">
        <v>499</v>
      </c>
      <c r="E50" s="392">
        <v>250</v>
      </c>
      <c r="F50" s="400">
        <f t="shared" ref="F50:F64" si="7">+H50</f>
        <v>73.81</v>
      </c>
      <c r="G50" s="105"/>
      <c r="H50" s="392">
        <v>73.81</v>
      </c>
      <c r="I50" s="392"/>
      <c r="J50" s="392">
        <v>250</v>
      </c>
      <c r="K50" s="396"/>
      <c r="L50" s="396"/>
      <c r="M50" s="392">
        <v>250</v>
      </c>
      <c r="N50" s="48"/>
      <c r="O50" s="392">
        <v>250</v>
      </c>
      <c r="P50" s="48"/>
    </row>
    <row r="51" spans="3:16" s="44" customFormat="1" ht="15">
      <c r="C51" s="374">
        <v>612530</v>
      </c>
      <c r="D51" s="369" t="s">
        <v>500</v>
      </c>
      <c r="E51" s="392">
        <v>1815</v>
      </c>
      <c r="F51" s="400">
        <f t="shared" si="7"/>
        <v>0</v>
      </c>
      <c r="G51" s="105"/>
      <c r="H51" s="392">
        <v>0</v>
      </c>
      <c r="I51" s="392"/>
      <c r="J51" s="392">
        <v>0</v>
      </c>
      <c r="K51" s="396"/>
      <c r="L51" s="396"/>
      <c r="M51" s="392">
        <v>0</v>
      </c>
      <c r="N51" s="48"/>
      <c r="O51" s="392">
        <v>0</v>
      </c>
      <c r="P51" s="48"/>
    </row>
    <row r="52" spans="3:16" s="44" customFormat="1" ht="15">
      <c r="C52" s="374">
        <v>612530</v>
      </c>
      <c r="D52" s="369" t="s">
        <v>501</v>
      </c>
      <c r="E52" s="66">
        <v>5000</v>
      </c>
      <c r="F52" s="400">
        <f t="shared" si="7"/>
        <v>3267</v>
      </c>
      <c r="G52" s="105"/>
      <c r="H52" s="392">
        <v>3267</v>
      </c>
      <c r="I52" s="392"/>
      <c r="J52" s="66">
        <v>0</v>
      </c>
      <c r="K52" s="57"/>
      <c r="L52" s="57"/>
      <c r="M52" s="66">
        <v>0</v>
      </c>
      <c r="N52" s="48"/>
      <c r="O52" s="66">
        <v>0</v>
      </c>
      <c r="P52" s="48"/>
    </row>
    <row r="53" spans="3:16" s="44" customFormat="1" ht="15">
      <c r="C53" s="374">
        <v>612530</v>
      </c>
      <c r="D53" s="369" t="s">
        <v>99</v>
      </c>
      <c r="E53" s="392">
        <v>300</v>
      </c>
      <c r="F53" s="400">
        <f t="shared" si="7"/>
        <v>0</v>
      </c>
      <c r="G53" s="105"/>
      <c r="H53" s="392">
        <v>0</v>
      </c>
      <c r="I53" s="392"/>
      <c r="J53" s="392">
        <v>300</v>
      </c>
      <c r="K53" s="396"/>
      <c r="L53" s="396"/>
      <c r="M53" s="392">
        <v>300</v>
      </c>
      <c r="N53" s="48"/>
      <c r="O53" s="392">
        <v>300</v>
      </c>
      <c r="P53" s="48"/>
    </row>
    <row r="54" spans="3:16" s="44" customFormat="1" ht="15">
      <c r="C54" s="374">
        <v>612530</v>
      </c>
      <c r="D54" s="369" t="s">
        <v>502</v>
      </c>
      <c r="E54" s="392"/>
      <c r="F54" s="400">
        <f t="shared" si="7"/>
        <v>100.91</v>
      </c>
      <c r="G54" s="105"/>
      <c r="H54" s="392">
        <v>100.91</v>
      </c>
      <c r="I54" s="392"/>
      <c r="J54" s="392">
        <v>200</v>
      </c>
      <c r="K54" s="396"/>
      <c r="L54" s="396"/>
      <c r="M54" s="392">
        <v>200</v>
      </c>
      <c r="N54" s="48"/>
      <c r="O54" s="392">
        <v>200</v>
      </c>
      <c r="P54" s="48"/>
    </row>
    <row r="55" spans="3:16" s="44" customFormat="1" ht="15">
      <c r="C55" s="374">
        <v>612530</v>
      </c>
      <c r="D55" s="369" t="s">
        <v>503</v>
      </c>
      <c r="E55" s="392"/>
      <c r="F55" s="400">
        <f t="shared" si="7"/>
        <v>0</v>
      </c>
      <c r="G55" s="105"/>
      <c r="H55" s="392">
        <v>0</v>
      </c>
      <c r="I55" s="392"/>
      <c r="J55" s="392"/>
      <c r="K55" s="396"/>
      <c r="L55" s="396"/>
      <c r="M55" s="392"/>
      <c r="N55" s="48"/>
      <c r="O55" s="392"/>
      <c r="P55" s="48"/>
    </row>
    <row r="56" spans="3:16" s="44" customFormat="1" ht="15">
      <c r="C56" s="374">
        <v>612530</v>
      </c>
      <c r="D56" s="369" t="s">
        <v>100</v>
      </c>
      <c r="E56" s="392">
        <v>4250</v>
      </c>
      <c r="F56" s="400">
        <f t="shared" si="7"/>
        <v>8235</v>
      </c>
      <c r="G56" s="105"/>
      <c r="H56" s="392">
        <v>8235</v>
      </c>
      <c r="I56" s="392"/>
      <c r="J56" s="392">
        <v>4250</v>
      </c>
      <c r="K56" s="396"/>
      <c r="L56" s="396"/>
      <c r="M56" s="392">
        <v>4250</v>
      </c>
      <c r="N56" s="48"/>
      <c r="O56" s="392">
        <v>4250</v>
      </c>
      <c r="P56" s="48"/>
    </row>
    <row r="57" spans="3:16" s="44" customFormat="1" ht="15">
      <c r="C57" s="374">
        <v>612530</v>
      </c>
      <c r="D57" s="369" t="s">
        <v>504</v>
      </c>
      <c r="E57" s="392">
        <v>130</v>
      </c>
      <c r="F57" s="400">
        <f t="shared" si="7"/>
        <v>70.53</v>
      </c>
      <c r="G57" s="105"/>
      <c r="H57" s="392">
        <v>70.53</v>
      </c>
      <c r="I57" s="392"/>
      <c r="J57" s="392">
        <v>130</v>
      </c>
      <c r="K57" s="396"/>
      <c r="L57" s="396"/>
      <c r="M57" s="392">
        <v>130</v>
      </c>
      <c r="N57" s="48"/>
      <c r="O57" s="392">
        <v>130</v>
      </c>
      <c r="P57" s="48"/>
    </row>
    <row r="58" spans="3:16" s="44" customFormat="1" ht="15">
      <c r="C58" s="374">
        <v>612530</v>
      </c>
      <c r="D58" s="369" t="s">
        <v>505</v>
      </c>
      <c r="E58" s="392">
        <v>1100</v>
      </c>
      <c r="F58" s="400">
        <f t="shared" si="7"/>
        <v>2032.01</v>
      </c>
      <c r="G58" s="105"/>
      <c r="H58" s="392">
        <v>2032.01</v>
      </c>
      <c r="I58" s="392"/>
      <c r="J58" s="392">
        <v>2200</v>
      </c>
      <c r="K58" s="396"/>
      <c r="L58" s="396"/>
      <c r="M58" s="392">
        <v>2200</v>
      </c>
      <c r="N58" s="48"/>
      <c r="O58" s="392">
        <v>2200</v>
      </c>
      <c r="P58" s="48"/>
    </row>
    <row r="59" spans="3:16" s="44" customFormat="1" ht="15">
      <c r="C59" s="374">
        <v>612530</v>
      </c>
      <c r="D59" s="369" t="s">
        <v>102</v>
      </c>
      <c r="E59" s="392">
        <v>1500</v>
      </c>
      <c r="F59" s="400">
        <f t="shared" si="7"/>
        <v>681.50999999999988</v>
      </c>
      <c r="G59" s="105"/>
      <c r="H59" s="392">
        <v>681.50999999999988</v>
      </c>
      <c r="I59" s="392"/>
      <c r="J59" s="392">
        <v>1500</v>
      </c>
      <c r="K59" s="396"/>
      <c r="L59" s="396"/>
      <c r="M59" s="392">
        <v>1500</v>
      </c>
      <c r="N59" s="48"/>
      <c r="O59" s="392">
        <v>1500</v>
      </c>
      <c r="P59" s="48"/>
    </row>
    <row r="60" spans="3:16" s="44" customFormat="1" ht="15">
      <c r="C60" s="374">
        <v>612530</v>
      </c>
      <c r="D60" s="369" t="s">
        <v>506</v>
      </c>
      <c r="E60" s="369">
        <v>2000</v>
      </c>
      <c r="F60" s="400">
        <f t="shared" si="7"/>
        <v>466</v>
      </c>
      <c r="G60" s="105"/>
      <c r="H60" s="392">
        <v>466</v>
      </c>
      <c r="I60" s="392"/>
      <c r="J60" s="369">
        <v>0</v>
      </c>
      <c r="K60" s="396"/>
      <c r="L60" s="396"/>
      <c r="M60" s="369">
        <v>0</v>
      </c>
      <c r="N60" s="48"/>
      <c r="O60" s="369">
        <v>0</v>
      </c>
      <c r="P60" s="48"/>
    </row>
    <row r="61" spans="3:16" s="44" customFormat="1" ht="15">
      <c r="C61" s="374">
        <v>612530</v>
      </c>
      <c r="D61" s="369" t="s">
        <v>507</v>
      </c>
      <c r="E61" s="392">
        <v>1500</v>
      </c>
      <c r="F61" s="400">
        <f t="shared" si="7"/>
        <v>0</v>
      </c>
      <c r="G61" s="105"/>
      <c r="H61" s="392">
        <v>0</v>
      </c>
      <c r="I61" s="392"/>
      <c r="J61" s="392">
        <v>1500</v>
      </c>
      <c r="K61" s="396"/>
      <c r="L61" s="396"/>
      <c r="M61" s="392">
        <v>1500</v>
      </c>
      <c r="N61" s="48"/>
      <c r="O61" s="392">
        <v>1500</v>
      </c>
      <c r="P61" s="48"/>
    </row>
    <row r="62" spans="3:16" s="44" customFormat="1" ht="15">
      <c r="C62" s="374">
        <v>612530</v>
      </c>
      <c r="D62" s="369" t="s">
        <v>103</v>
      </c>
      <c r="E62" s="392"/>
      <c r="F62" s="400">
        <f t="shared" si="7"/>
        <v>7020</v>
      </c>
      <c r="G62" s="105"/>
      <c r="H62" s="392">
        <v>7020</v>
      </c>
      <c r="I62" s="392"/>
      <c r="J62" s="392">
        <v>17000</v>
      </c>
      <c r="K62" s="396"/>
      <c r="L62" s="396"/>
      <c r="M62" s="392">
        <v>17000</v>
      </c>
      <c r="N62" s="48"/>
      <c r="O62" s="392">
        <v>17000</v>
      </c>
      <c r="P62" s="48"/>
    </row>
    <row r="63" spans="3:16" s="44" customFormat="1" ht="15">
      <c r="C63" s="374">
        <v>612530</v>
      </c>
      <c r="D63" s="369" t="s">
        <v>508</v>
      </c>
      <c r="E63" s="392"/>
      <c r="F63" s="400">
        <f t="shared" si="7"/>
        <v>2925</v>
      </c>
      <c r="G63" s="105"/>
      <c r="H63" s="392">
        <v>2925</v>
      </c>
      <c r="I63" s="392"/>
      <c r="J63" s="392">
        <v>3000</v>
      </c>
      <c r="K63" s="396"/>
      <c r="L63" s="396"/>
      <c r="M63" s="392">
        <v>3000</v>
      </c>
      <c r="N63" s="48"/>
      <c r="O63" s="392">
        <v>3000</v>
      </c>
      <c r="P63" s="48"/>
    </row>
    <row r="64" spans="3:16" s="44" customFormat="1" ht="15">
      <c r="C64" s="374">
        <v>612530</v>
      </c>
      <c r="D64" s="369" t="s">
        <v>509</v>
      </c>
      <c r="E64" s="392">
        <v>0</v>
      </c>
      <c r="F64" s="400">
        <f t="shared" si="7"/>
        <v>846.95</v>
      </c>
      <c r="G64" s="105"/>
      <c r="H64" s="392">
        <v>846.95</v>
      </c>
      <c r="I64" s="392"/>
      <c r="J64" s="392">
        <v>0</v>
      </c>
      <c r="K64" s="396"/>
      <c r="L64" s="396"/>
      <c r="M64" s="392">
        <v>0</v>
      </c>
      <c r="N64" s="48"/>
      <c r="O64" s="392">
        <v>0</v>
      </c>
      <c r="P64" s="48"/>
    </row>
    <row r="65" spans="2:16" s="44" customFormat="1" ht="15">
      <c r="B65" s="363"/>
      <c r="C65" s="50">
        <v>612530</v>
      </c>
      <c r="D65" s="55" t="s">
        <v>104</v>
      </c>
      <c r="E65" s="64">
        <f>SUM(E48:E64)</f>
        <v>19345</v>
      </c>
      <c r="F65" s="84">
        <f>SUM(F48:F64)</f>
        <v>26578.49</v>
      </c>
      <c r="G65" s="104"/>
      <c r="H65" s="3">
        <v>26578.489999999998</v>
      </c>
      <c r="I65" s="3">
        <v>33329.99</v>
      </c>
      <c r="J65" s="64">
        <f>SUM(J48:J64)</f>
        <v>31830</v>
      </c>
      <c r="K65" s="164">
        <f>(+I65/J65)-1</f>
        <v>4.7125039271127767E-2</v>
      </c>
      <c r="L65" s="53"/>
      <c r="M65" s="64">
        <f>SUM(M48:M64)</f>
        <v>31830</v>
      </c>
      <c r="N65" s="48"/>
      <c r="O65" s="64">
        <f>SUM(O48:O64)</f>
        <v>31830</v>
      </c>
      <c r="P65" s="48"/>
    </row>
    <row r="66" spans="2:16" s="44" customFormat="1" ht="15">
      <c r="B66" s="363"/>
      <c r="C66" s="45">
        <v>612600</v>
      </c>
      <c r="D66" s="46" t="s">
        <v>510</v>
      </c>
      <c r="E66" s="60">
        <v>1000</v>
      </c>
      <c r="F66" s="87">
        <f>+H66</f>
        <v>475.91999999999996</v>
      </c>
      <c r="G66" s="104"/>
      <c r="H66" s="4">
        <v>475.91999999999996</v>
      </c>
      <c r="I66" s="4">
        <v>231.78</v>
      </c>
      <c r="J66" s="60">
        <v>1000</v>
      </c>
      <c r="K66" s="164">
        <f>(+I66/J66)-1</f>
        <v>-0.76822000000000001</v>
      </c>
      <c r="L66" s="53"/>
      <c r="M66" s="60">
        <v>1000</v>
      </c>
      <c r="N66" s="48"/>
      <c r="O66" s="60">
        <v>1000</v>
      </c>
      <c r="P66" s="48"/>
    </row>
    <row r="67" spans="2:16" s="44" customFormat="1" ht="15">
      <c r="B67" s="363"/>
      <c r="C67" s="45">
        <v>612700</v>
      </c>
      <c r="D67" s="46" t="s">
        <v>349</v>
      </c>
      <c r="E67" s="54">
        <v>3000</v>
      </c>
      <c r="F67" s="87">
        <f>+H67</f>
        <v>3573.13</v>
      </c>
      <c r="G67" s="104"/>
      <c r="H67" s="4">
        <v>3573.13</v>
      </c>
      <c r="I67" s="4">
        <v>2730.45</v>
      </c>
      <c r="J67" s="54">
        <v>3900</v>
      </c>
      <c r="K67" s="164">
        <f>(+I67/J67)-1</f>
        <v>-0.29988461538461542</v>
      </c>
      <c r="L67" s="53"/>
      <c r="M67" s="54">
        <v>3900</v>
      </c>
      <c r="N67" s="48"/>
      <c r="O67" s="54">
        <v>3900</v>
      </c>
      <c r="P67" s="48"/>
    </row>
    <row r="68" spans="2:16" s="44" customFormat="1" ht="15">
      <c r="B68" s="363"/>
      <c r="C68" s="49"/>
      <c r="D68" s="47"/>
      <c r="E68" s="73"/>
      <c r="F68" s="88"/>
      <c r="G68" s="104"/>
      <c r="H68" s="5"/>
      <c r="I68" s="5"/>
      <c r="J68" s="73"/>
      <c r="K68" s="53"/>
      <c r="L68" s="53"/>
      <c r="M68" s="73"/>
      <c r="N68" s="48"/>
      <c r="O68" s="73"/>
      <c r="P68" s="48"/>
    </row>
    <row r="69" spans="2:16" s="44" customFormat="1" ht="15">
      <c r="B69" s="363"/>
      <c r="C69" s="403" t="s">
        <v>511</v>
      </c>
      <c r="D69" s="47"/>
      <c r="E69" s="73"/>
      <c r="F69" s="88"/>
      <c r="G69" s="104"/>
      <c r="H69" s="5"/>
      <c r="I69" s="5"/>
      <c r="J69" s="73"/>
      <c r="K69" s="53"/>
      <c r="L69" s="53"/>
      <c r="M69" s="73"/>
      <c r="N69" s="48"/>
      <c r="O69" s="73"/>
      <c r="P69" s="48"/>
    </row>
    <row r="70" spans="2:16" s="44" customFormat="1" ht="15">
      <c r="B70" s="363"/>
      <c r="C70" s="74" t="s">
        <v>512</v>
      </c>
      <c r="D70" s="47"/>
      <c r="E70" s="73"/>
      <c r="F70" s="88"/>
      <c r="G70" s="104"/>
      <c r="H70" s="5"/>
      <c r="I70" s="5"/>
      <c r="J70" s="73"/>
      <c r="K70" s="53"/>
      <c r="L70" s="53"/>
      <c r="M70" s="73"/>
      <c r="N70" s="48"/>
      <c r="O70" s="73"/>
      <c r="P70" s="48"/>
    </row>
    <row r="71" spans="2:16" s="44" customFormat="1" ht="15">
      <c r="B71" s="363"/>
      <c r="C71" s="74" t="s">
        <v>513</v>
      </c>
      <c r="D71" s="47"/>
      <c r="E71" s="73"/>
      <c r="F71" s="88"/>
      <c r="G71" s="104"/>
      <c r="H71" s="5"/>
      <c r="I71" s="5"/>
      <c r="J71" s="73"/>
      <c r="K71" s="53"/>
      <c r="L71" s="53"/>
      <c r="M71" s="73"/>
      <c r="N71" s="48"/>
      <c r="O71" s="73"/>
      <c r="P71" s="48"/>
    </row>
    <row r="72" spans="2:16" s="44" customFormat="1" ht="15">
      <c r="B72" s="363"/>
      <c r="C72" s="74" t="s">
        <v>514</v>
      </c>
      <c r="D72" s="47"/>
      <c r="E72" s="73"/>
      <c r="F72" s="88"/>
      <c r="G72" s="104"/>
      <c r="H72" s="5"/>
      <c r="I72" s="5"/>
      <c r="J72" s="73"/>
      <c r="K72" s="53"/>
      <c r="L72" s="53"/>
      <c r="M72" s="73"/>
      <c r="N72" s="48"/>
      <c r="O72" s="73"/>
      <c r="P72" s="48"/>
    </row>
    <row r="73" spans="2:16" s="44" customFormat="1" ht="15">
      <c r="B73" s="363"/>
      <c r="C73" s="49"/>
      <c r="D73" s="47"/>
      <c r="E73" s="47"/>
      <c r="F73" s="85"/>
      <c r="G73" s="104"/>
      <c r="H73" s="47"/>
      <c r="I73" s="47"/>
      <c r="J73" s="47"/>
      <c r="K73" s="47"/>
      <c r="L73" s="47"/>
      <c r="M73" s="47"/>
      <c r="N73" s="48"/>
      <c r="O73" s="47"/>
      <c r="P73" s="48"/>
    </row>
    <row r="74" spans="2:16" customFormat="1" ht="32.25" thickBot="1">
      <c r="C74" s="23"/>
      <c r="D74" s="24"/>
      <c r="E74" s="25" t="str">
        <f>+E$4</f>
        <v>BUDGET 2024</v>
      </c>
      <c r="F74" s="81" t="str">
        <f>F$4</f>
        <v>Au 27/11/2024</v>
      </c>
      <c r="G74" s="101"/>
      <c r="H74" s="25" t="s">
        <v>50</v>
      </c>
      <c r="I74" s="165">
        <v>45930</v>
      </c>
      <c r="J74" s="25" t="str">
        <f>+J$4</f>
        <v>BUD 2025 base</v>
      </c>
      <c r="K74" s="26"/>
      <c r="L74" s="26"/>
      <c r="M74" s="78" t="str">
        <f>+M$4</f>
        <v>BUD 2025 Adeps A</v>
      </c>
      <c r="N74" s="79"/>
      <c r="O74" s="78" t="str">
        <f>+O$4</f>
        <v>BUD 2025 Adeps B</v>
      </c>
      <c r="P74" s="19"/>
    </row>
    <row r="75" spans="2:16" customFormat="1" ht="16.5" thickBot="1">
      <c r="B75" s="27" t="s">
        <v>61</v>
      </c>
      <c r="C75" s="28"/>
      <c r="D75" s="29"/>
      <c r="E75" s="38">
        <f>SUM(E76:E85)</f>
        <v>19340</v>
      </c>
      <c r="F75" s="82">
        <f>F79+SUM(F80:F85)</f>
        <v>18326.809999999998</v>
      </c>
      <c r="G75" s="102">
        <f>+F75/E75</f>
        <v>0.94761168562564624</v>
      </c>
      <c r="H75" s="31"/>
      <c r="I75" s="38">
        <f>SUM(I76:I85)</f>
        <v>16136.95</v>
      </c>
      <c r="J75" s="38">
        <f>SUM(J76:J85)</f>
        <v>23150</v>
      </c>
      <c r="K75" s="164">
        <f>(+I75/J75)-1</f>
        <v>-0.3029395248380129</v>
      </c>
      <c r="L75" s="33"/>
      <c r="M75" s="38">
        <f>SUM(M76:M85)</f>
        <v>23150</v>
      </c>
      <c r="N75" s="19"/>
      <c r="O75" s="38">
        <f>SUM(O76:O85)</f>
        <v>23150</v>
      </c>
      <c r="P75" s="19"/>
    </row>
    <row r="76" spans="2:16" s="44" customFormat="1" ht="15">
      <c r="B76" s="363"/>
      <c r="C76" s="372">
        <v>612800</v>
      </c>
      <c r="D76" s="373" t="s">
        <v>515</v>
      </c>
      <c r="E76" s="68">
        <v>840</v>
      </c>
      <c r="F76" s="89">
        <f>+H76</f>
        <v>776</v>
      </c>
      <c r="G76" s="103"/>
      <c r="H76" s="1">
        <v>776</v>
      </c>
      <c r="I76" s="162"/>
      <c r="J76" s="68">
        <v>950</v>
      </c>
      <c r="K76" s="53"/>
      <c r="L76" s="53"/>
      <c r="M76" s="68">
        <v>950</v>
      </c>
      <c r="N76" s="48"/>
      <c r="O76" s="68">
        <v>950</v>
      </c>
      <c r="P76" s="48"/>
    </row>
    <row r="77" spans="2:16" s="44" customFormat="1" ht="15">
      <c r="B77" s="363"/>
      <c r="C77" s="374">
        <v>612800</v>
      </c>
      <c r="D77" s="369" t="s">
        <v>516</v>
      </c>
      <c r="E77" s="69">
        <v>2750</v>
      </c>
      <c r="F77" s="90">
        <f t="shared" ref="F77:F78" si="8">+H77</f>
        <v>0</v>
      </c>
      <c r="G77" s="103"/>
      <c r="H77" s="2">
        <v>0</v>
      </c>
      <c r="I77" s="163"/>
      <c r="J77" s="69">
        <v>0</v>
      </c>
      <c r="K77" s="53"/>
      <c r="L77" s="53"/>
      <c r="M77" s="69">
        <v>0</v>
      </c>
      <c r="N77" s="48"/>
      <c r="O77" s="69">
        <v>0</v>
      </c>
      <c r="P77" s="48"/>
    </row>
    <row r="78" spans="2:16" s="44" customFormat="1" ht="15">
      <c r="B78" s="363"/>
      <c r="C78" s="374">
        <v>612800</v>
      </c>
      <c r="D78" s="369" t="s">
        <v>517</v>
      </c>
      <c r="E78" s="69">
        <v>1250</v>
      </c>
      <c r="F78" s="90">
        <f t="shared" si="8"/>
        <v>3603.04</v>
      </c>
      <c r="G78" s="103"/>
      <c r="H78" s="2">
        <v>3603.04</v>
      </c>
      <c r="I78" s="163">
        <v>2813.59</v>
      </c>
      <c r="J78" s="69">
        <v>4200</v>
      </c>
      <c r="K78" s="164">
        <f>(+I78/J78)-1</f>
        <v>-0.33009761904761903</v>
      </c>
      <c r="L78" s="53"/>
      <c r="M78" s="69">
        <v>4200</v>
      </c>
      <c r="N78" s="48"/>
      <c r="O78" s="69">
        <v>4200</v>
      </c>
      <c r="P78" s="48"/>
    </row>
    <row r="79" spans="2:16" s="44" customFormat="1" ht="15">
      <c r="B79" s="363"/>
      <c r="C79" s="50">
        <v>612800</v>
      </c>
      <c r="D79" s="55" t="s">
        <v>107</v>
      </c>
      <c r="E79" s="70"/>
      <c r="F79" s="84">
        <f>SUM(F76:F78)</f>
        <v>4379.04</v>
      </c>
      <c r="G79" s="104"/>
      <c r="H79" s="3">
        <v>4379.04</v>
      </c>
      <c r="I79" s="161"/>
      <c r="J79" s="70"/>
      <c r="K79" s="53"/>
      <c r="L79" s="53"/>
      <c r="M79" s="70"/>
      <c r="N79" s="48"/>
      <c r="O79" s="70"/>
      <c r="P79" s="48"/>
    </row>
    <row r="80" spans="2:16" s="44" customFormat="1" ht="15">
      <c r="B80" s="363"/>
      <c r="C80" s="45">
        <v>612810</v>
      </c>
      <c r="D80" s="46" t="s">
        <v>518</v>
      </c>
      <c r="E80" s="52">
        <v>0</v>
      </c>
      <c r="F80" s="84">
        <f t="shared" ref="F80:F85" si="9">+H80</f>
        <v>0</v>
      </c>
      <c r="G80" s="104"/>
      <c r="H80" s="3">
        <v>0</v>
      </c>
      <c r="I80" s="3"/>
      <c r="J80" s="52">
        <v>0</v>
      </c>
      <c r="K80" s="53"/>
      <c r="L80" s="53"/>
      <c r="M80" s="52">
        <v>0</v>
      </c>
      <c r="N80" s="48"/>
      <c r="O80" s="52">
        <v>0</v>
      </c>
      <c r="P80" s="48"/>
    </row>
    <row r="81" spans="2:16" s="44" customFormat="1" ht="15">
      <c r="B81" s="363"/>
      <c r="C81" s="45">
        <v>612820</v>
      </c>
      <c r="D81" s="46" t="s">
        <v>519</v>
      </c>
      <c r="E81" s="54">
        <v>0</v>
      </c>
      <c r="F81" s="87">
        <f t="shared" si="9"/>
        <v>0</v>
      </c>
      <c r="G81" s="104"/>
      <c r="H81" s="4">
        <v>0</v>
      </c>
      <c r="I81" s="4"/>
      <c r="J81" s="54">
        <v>0</v>
      </c>
      <c r="K81" s="53"/>
      <c r="L81" s="53"/>
      <c r="M81" s="54">
        <v>0</v>
      </c>
      <c r="N81" s="48"/>
      <c r="O81" s="54">
        <v>0</v>
      </c>
      <c r="P81" s="48"/>
    </row>
    <row r="82" spans="2:16" s="44" customFormat="1" ht="15">
      <c r="B82" s="363"/>
      <c r="C82" s="45">
        <v>612830</v>
      </c>
      <c r="D82" s="71" t="s">
        <v>520</v>
      </c>
      <c r="E82" s="54">
        <v>0</v>
      </c>
      <c r="F82" s="87">
        <f t="shared" si="9"/>
        <v>0</v>
      </c>
      <c r="G82" s="104"/>
      <c r="H82" s="4">
        <v>0</v>
      </c>
      <c r="I82" s="4"/>
      <c r="J82" s="54">
        <v>0</v>
      </c>
      <c r="K82" s="53"/>
      <c r="L82" s="53"/>
      <c r="M82" s="54">
        <v>0</v>
      </c>
      <c r="N82" s="48"/>
      <c r="O82" s="54">
        <v>0</v>
      </c>
      <c r="P82" s="48"/>
    </row>
    <row r="83" spans="2:16" s="44" customFormat="1" ht="15">
      <c r="B83" s="363"/>
      <c r="C83" s="45">
        <v>612840</v>
      </c>
      <c r="D83" s="46" t="s">
        <v>521</v>
      </c>
      <c r="E83" s="54">
        <v>0</v>
      </c>
      <c r="F83" s="87">
        <f t="shared" si="9"/>
        <v>0</v>
      </c>
      <c r="G83" s="104"/>
      <c r="H83" s="4">
        <v>0</v>
      </c>
      <c r="I83" s="4"/>
      <c r="J83" s="54">
        <v>0</v>
      </c>
      <c r="K83" s="53"/>
      <c r="L83" s="53"/>
      <c r="M83" s="54">
        <v>0</v>
      </c>
      <c r="N83" s="48"/>
      <c r="O83" s="54">
        <v>0</v>
      </c>
      <c r="P83" s="48"/>
    </row>
    <row r="84" spans="2:16" s="44" customFormat="1" ht="15">
      <c r="B84" s="363"/>
      <c r="C84" s="45">
        <v>612850</v>
      </c>
      <c r="D84" s="46" t="s">
        <v>352</v>
      </c>
      <c r="E84" s="54">
        <v>12500</v>
      </c>
      <c r="F84" s="87">
        <f t="shared" si="9"/>
        <v>13947.769999999999</v>
      </c>
      <c r="G84" s="104"/>
      <c r="H84" s="4">
        <v>13947.769999999999</v>
      </c>
      <c r="I84" s="4">
        <v>11562.54</v>
      </c>
      <c r="J84" s="54">
        <v>16000</v>
      </c>
      <c r="K84" s="164">
        <f>(+I84/J84)-1</f>
        <v>-0.27734124999999998</v>
      </c>
      <c r="L84" s="53"/>
      <c r="M84" s="54">
        <v>16000</v>
      </c>
      <c r="N84" s="48"/>
      <c r="O84" s="54">
        <v>16000</v>
      </c>
      <c r="P84" s="48"/>
    </row>
    <row r="85" spans="2:16" s="44" customFormat="1" ht="15">
      <c r="B85" s="363"/>
      <c r="C85" s="45">
        <v>612900</v>
      </c>
      <c r="D85" s="46" t="s">
        <v>522</v>
      </c>
      <c r="E85" s="54">
        <v>2000</v>
      </c>
      <c r="F85" s="87">
        <f t="shared" si="9"/>
        <v>0</v>
      </c>
      <c r="G85" s="104"/>
      <c r="H85" s="4">
        <v>0</v>
      </c>
      <c r="I85" s="4">
        <v>1760.82</v>
      </c>
      <c r="J85" s="54">
        <v>2000</v>
      </c>
      <c r="K85" s="164">
        <f>(+I85/J85)-1</f>
        <v>-0.11959000000000009</v>
      </c>
      <c r="L85" s="53"/>
      <c r="M85" s="54">
        <v>2000</v>
      </c>
      <c r="N85" s="48"/>
      <c r="O85" s="54">
        <v>2000</v>
      </c>
      <c r="P85" s="48"/>
    </row>
    <row r="86" spans="2:16" s="44" customFormat="1" ht="8.1" customHeight="1">
      <c r="B86" s="363"/>
      <c r="C86" s="49"/>
      <c r="D86" s="47"/>
      <c r="E86" s="47"/>
      <c r="F86" s="85"/>
      <c r="G86" s="104"/>
      <c r="H86" s="47"/>
      <c r="I86" s="47"/>
      <c r="J86" s="47"/>
      <c r="K86" s="47"/>
      <c r="L86" s="47"/>
      <c r="M86" s="47"/>
      <c r="N86" s="48"/>
      <c r="O86" s="47"/>
      <c r="P86" s="48"/>
    </row>
    <row r="87" spans="2:16" customFormat="1" ht="32.25" thickBot="1">
      <c r="C87" s="23"/>
      <c r="D87" s="24"/>
      <c r="E87" s="25" t="str">
        <f>+E$4</f>
        <v>BUDGET 2024</v>
      </c>
      <c r="F87" s="81" t="str">
        <f>F$4</f>
        <v>Au 27/11/2024</v>
      </c>
      <c r="G87" s="101"/>
      <c r="H87" s="25" t="s">
        <v>50</v>
      </c>
      <c r="I87" s="165">
        <v>45930</v>
      </c>
      <c r="J87" s="25" t="str">
        <f>+J$4</f>
        <v>BUD 2025 base</v>
      </c>
      <c r="K87" s="26"/>
      <c r="L87" s="26"/>
      <c r="M87" s="78" t="str">
        <f>+M$4</f>
        <v>BUD 2025 Adeps A</v>
      </c>
      <c r="N87" s="79"/>
      <c r="O87" s="78" t="str">
        <f>+O$4</f>
        <v>BUD 2025 Adeps B</v>
      </c>
      <c r="P87" s="19"/>
    </row>
    <row r="88" spans="2:16" customFormat="1" ht="16.5" thickBot="1">
      <c r="B88" s="27" t="s">
        <v>63</v>
      </c>
      <c r="C88" s="28"/>
      <c r="D88" s="29"/>
      <c r="E88" s="37">
        <f>+E92+E93+E94+E99</f>
        <v>19550</v>
      </c>
      <c r="F88" s="86">
        <f>F92+F93+F94+F99</f>
        <v>13262.69</v>
      </c>
      <c r="G88" s="102">
        <f>+F88/E88</f>
        <v>0.67839846547314575</v>
      </c>
      <c r="H88" s="31"/>
      <c r="I88" s="37">
        <f>+I92+I93+I94+I99</f>
        <v>8732.369999999999</v>
      </c>
      <c r="J88" s="37">
        <f>+J92+J93+J94+J99</f>
        <v>20050</v>
      </c>
      <c r="K88" s="166">
        <f>(+I88/J88)-1</f>
        <v>-0.56447032418952625</v>
      </c>
      <c r="L88" s="33"/>
      <c r="M88" s="37">
        <f>+M92+M93+M94+M99</f>
        <v>20050</v>
      </c>
      <c r="N88" s="19"/>
      <c r="O88" s="37">
        <f>+O92+O93+O94+O99</f>
        <v>20050</v>
      </c>
      <c r="P88" s="19"/>
    </row>
    <row r="89" spans="2:16" ht="45.95" hidden="1" customHeight="1">
      <c r="C89" s="6">
        <v>613100</v>
      </c>
      <c r="D89" s="7" t="s">
        <v>523</v>
      </c>
      <c r="E89" s="16">
        <v>1000</v>
      </c>
      <c r="F89" s="91">
        <f>+H89</f>
        <v>0</v>
      </c>
      <c r="G89" s="105"/>
      <c r="H89" s="16">
        <v>0</v>
      </c>
      <c r="I89" s="16"/>
      <c r="J89" s="16">
        <v>1000</v>
      </c>
      <c r="K89" s="17"/>
      <c r="L89" s="17"/>
      <c r="M89" s="16">
        <v>1000</v>
      </c>
      <c r="N89" s="14"/>
      <c r="O89" s="16">
        <v>1000</v>
      </c>
      <c r="P89" s="14"/>
    </row>
    <row r="90" spans="2:16" ht="45.95" hidden="1" customHeight="1">
      <c r="C90" s="8">
        <v>613100</v>
      </c>
      <c r="D90" s="9" t="s">
        <v>524</v>
      </c>
      <c r="E90" s="18">
        <v>3000</v>
      </c>
      <c r="F90" s="91">
        <f>+H90</f>
        <v>0</v>
      </c>
      <c r="G90" s="105"/>
      <c r="H90" s="16">
        <v>0</v>
      </c>
      <c r="I90" s="18"/>
      <c r="J90" s="18">
        <v>3000</v>
      </c>
      <c r="K90" s="17"/>
      <c r="L90" s="17"/>
      <c r="M90" s="18">
        <v>3000</v>
      </c>
      <c r="N90" s="14"/>
      <c r="O90" s="18">
        <v>3000</v>
      </c>
      <c r="P90" s="14"/>
    </row>
    <row r="91" spans="2:16" ht="45.95" hidden="1" customHeight="1">
      <c r="C91" s="8">
        <v>613100</v>
      </c>
      <c r="D91" s="9" t="s">
        <v>525</v>
      </c>
      <c r="E91" s="18">
        <v>1000</v>
      </c>
      <c r="F91" s="92">
        <f>+H91</f>
        <v>738.5</v>
      </c>
      <c r="G91" s="105"/>
      <c r="H91" s="18">
        <v>738.5</v>
      </c>
      <c r="I91" s="18"/>
      <c r="J91" s="18">
        <v>1000</v>
      </c>
      <c r="K91" s="17"/>
      <c r="L91" s="17"/>
      <c r="M91" s="18">
        <v>1000</v>
      </c>
      <c r="N91" s="14"/>
      <c r="O91" s="18">
        <v>1000</v>
      </c>
      <c r="P91" s="14"/>
    </row>
    <row r="92" spans="2:16" s="44" customFormat="1" ht="15">
      <c r="B92" s="363"/>
      <c r="C92" s="50">
        <v>613100</v>
      </c>
      <c r="D92" s="55" t="s">
        <v>111</v>
      </c>
      <c r="E92" s="52">
        <f>SUM(E89:E91)</f>
        <v>5000</v>
      </c>
      <c r="F92" s="84">
        <f t="shared" ref="F92:F94" si="10">+H92</f>
        <v>738.5</v>
      </c>
      <c r="G92" s="104"/>
      <c r="H92" s="3">
        <v>738.5</v>
      </c>
      <c r="I92" s="3">
        <v>2392.35</v>
      </c>
      <c r="J92" s="52">
        <f>SUM(J89:J91)</f>
        <v>5000</v>
      </c>
      <c r="K92" s="166">
        <f>(+I92/J92)-1</f>
        <v>-0.52153000000000005</v>
      </c>
      <c r="L92" s="53"/>
      <c r="M92" s="52">
        <f>SUM(M89:M91)</f>
        <v>5000</v>
      </c>
      <c r="N92" s="48"/>
      <c r="O92" s="52">
        <f>SUM(O89:O91)</f>
        <v>5000</v>
      </c>
      <c r="P92" s="48"/>
    </row>
    <row r="93" spans="2:16" s="44" customFormat="1" ht="15">
      <c r="B93" s="363"/>
      <c r="C93" s="367">
        <v>613200</v>
      </c>
      <c r="D93" s="368" t="s">
        <v>112</v>
      </c>
      <c r="E93" s="64">
        <v>3000</v>
      </c>
      <c r="F93" s="404">
        <f t="shared" si="10"/>
        <v>3083.27</v>
      </c>
      <c r="G93" s="105"/>
      <c r="H93" s="405">
        <v>3083.27</v>
      </c>
      <c r="I93" s="405">
        <v>3832.81</v>
      </c>
      <c r="J93" s="64">
        <v>3500</v>
      </c>
      <c r="K93" s="166">
        <f>(+I93/J93)-1</f>
        <v>9.5088571428571411E-2</v>
      </c>
      <c r="L93" s="53"/>
      <c r="M93" s="64">
        <v>3500</v>
      </c>
      <c r="N93" s="48"/>
      <c r="O93" s="64">
        <v>3500</v>
      </c>
      <c r="P93" s="48"/>
    </row>
    <row r="94" spans="2:16" s="44" customFormat="1" ht="15">
      <c r="B94" s="363"/>
      <c r="C94" s="372">
        <v>613300</v>
      </c>
      <c r="D94" s="373" t="s">
        <v>526</v>
      </c>
      <c r="E94" s="67">
        <v>4000</v>
      </c>
      <c r="F94" s="399">
        <f t="shared" si="10"/>
        <v>2140.92</v>
      </c>
      <c r="G94" s="105"/>
      <c r="H94" s="389">
        <v>2140.92</v>
      </c>
      <c r="I94" s="389">
        <v>2107.21</v>
      </c>
      <c r="J94" s="67">
        <v>4000</v>
      </c>
      <c r="K94" s="166">
        <f>(+I94/J94)-1</f>
        <v>-0.47319749999999994</v>
      </c>
      <c r="L94" s="53"/>
      <c r="M94" s="67">
        <v>4000</v>
      </c>
      <c r="N94" s="48"/>
      <c r="O94" s="67">
        <v>4000</v>
      </c>
      <c r="P94" s="48"/>
    </row>
    <row r="95" spans="2:16" s="44" customFormat="1" ht="15">
      <c r="B95" s="363"/>
      <c r="C95" s="372">
        <v>613400</v>
      </c>
      <c r="D95" s="373" t="s">
        <v>113</v>
      </c>
      <c r="E95" s="65">
        <v>500</v>
      </c>
      <c r="F95" s="399">
        <f>+H95</f>
        <v>400</v>
      </c>
      <c r="G95" s="105"/>
      <c r="H95" s="389">
        <v>400</v>
      </c>
      <c r="I95" s="389"/>
      <c r="J95" s="65">
        <v>500</v>
      </c>
      <c r="K95" s="57"/>
      <c r="L95" s="57"/>
      <c r="M95" s="65">
        <v>500</v>
      </c>
      <c r="N95" s="48"/>
      <c r="O95" s="65">
        <v>500</v>
      </c>
      <c r="P95" s="48"/>
    </row>
    <row r="96" spans="2:16" s="44" customFormat="1" ht="15">
      <c r="B96" s="363"/>
      <c r="C96" s="374">
        <v>613400</v>
      </c>
      <c r="D96" s="369" t="s">
        <v>114</v>
      </c>
      <c r="E96" s="66">
        <v>6000</v>
      </c>
      <c r="F96" s="400">
        <f t="shared" ref="F96:F98" si="11">+H96</f>
        <v>6000</v>
      </c>
      <c r="G96" s="105"/>
      <c r="H96" s="392">
        <v>6000</v>
      </c>
      <c r="I96" s="392"/>
      <c r="J96" s="66">
        <v>6000</v>
      </c>
      <c r="K96" s="57"/>
      <c r="L96" s="57"/>
      <c r="M96" s="66">
        <v>6000</v>
      </c>
      <c r="N96" s="48"/>
      <c r="O96" s="66">
        <v>6000</v>
      </c>
      <c r="P96" s="48"/>
    </row>
    <row r="97" spans="2:16" s="44" customFormat="1" ht="15">
      <c r="B97" s="363"/>
      <c r="C97" s="374">
        <v>613400</v>
      </c>
      <c r="D97" s="369" t="s">
        <v>527</v>
      </c>
      <c r="E97" s="66">
        <v>300</v>
      </c>
      <c r="F97" s="400">
        <f t="shared" si="11"/>
        <v>0</v>
      </c>
      <c r="G97" s="105"/>
      <c r="H97" s="392">
        <v>0</v>
      </c>
      <c r="I97" s="392"/>
      <c r="J97" s="66">
        <v>300</v>
      </c>
      <c r="K97" s="57"/>
      <c r="L97" s="57"/>
      <c r="M97" s="66">
        <v>300</v>
      </c>
      <c r="N97" s="48"/>
      <c r="O97" s="66">
        <v>300</v>
      </c>
      <c r="P97" s="48"/>
    </row>
    <row r="98" spans="2:16" s="44" customFormat="1" ht="15">
      <c r="B98" s="363"/>
      <c r="C98" s="374">
        <v>613400</v>
      </c>
      <c r="D98" s="369" t="s">
        <v>528</v>
      </c>
      <c r="E98" s="66">
        <v>750</v>
      </c>
      <c r="F98" s="400">
        <f t="shared" si="11"/>
        <v>900</v>
      </c>
      <c r="G98" s="105"/>
      <c r="H98" s="392">
        <v>900</v>
      </c>
      <c r="I98" s="392"/>
      <c r="J98" s="66">
        <v>750</v>
      </c>
      <c r="K98" s="57"/>
      <c r="L98" s="57"/>
      <c r="M98" s="66">
        <v>750</v>
      </c>
      <c r="N98" s="48"/>
      <c r="O98" s="66">
        <v>750</v>
      </c>
      <c r="P98" s="48"/>
    </row>
    <row r="99" spans="2:16" s="44" customFormat="1" ht="15">
      <c r="B99" s="363"/>
      <c r="C99" s="50">
        <v>613400</v>
      </c>
      <c r="D99" s="55" t="s">
        <v>115</v>
      </c>
      <c r="E99" s="52">
        <f>SUM(E95:E98)</f>
        <v>7550</v>
      </c>
      <c r="F99" s="84">
        <f>SUM(F95:F98)</f>
        <v>7300</v>
      </c>
      <c r="G99" s="104"/>
      <c r="H99" s="3">
        <v>7300</v>
      </c>
      <c r="I99" s="3">
        <v>400</v>
      </c>
      <c r="J99" s="52">
        <f>SUM(J95:J98)</f>
        <v>7550</v>
      </c>
      <c r="K99" s="166">
        <f>(+I99/J99)-1</f>
        <v>-0.94701986754966883</v>
      </c>
      <c r="L99" s="53"/>
      <c r="M99" s="52">
        <f>SUM(M95:M98)</f>
        <v>7550</v>
      </c>
      <c r="N99" s="48"/>
      <c r="O99" s="52">
        <f>SUM(O95:O98)</f>
        <v>7550</v>
      </c>
      <c r="P99" s="48"/>
    </row>
    <row r="100" spans="2:16" s="44" customFormat="1" ht="9.9499999999999993" customHeight="1">
      <c r="B100" s="363"/>
      <c r="C100" s="49"/>
      <c r="D100" s="47"/>
      <c r="E100" s="47"/>
      <c r="F100" s="85"/>
      <c r="G100" s="104"/>
      <c r="H100" s="47"/>
      <c r="I100" s="47"/>
      <c r="J100" s="47"/>
      <c r="K100" s="47"/>
      <c r="L100" s="47"/>
      <c r="M100" s="47"/>
      <c r="N100" s="48"/>
      <c r="O100" s="47"/>
      <c r="P100" s="48"/>
    </row>
    <row r="101" spans="2:16" customFormat="1" ht="32.25" thickBot="1">
      <c r="C101" s="23"/>
      <c r="D101" s="24"/>
      <c r="E101" s="25" t="str">
        <f>+E$4</f>
        <v>BUDGET 2024</v>
      </c>
      <c r="F101" s="81" t="str">
        <f>F$4</f>
        <v>Au 27/11/2024</v>
      </c>
      <c r="G101" s="101"/>
      <c r="H101" s="25" t="s">
        <v>50</v>
      </c>
      <c r="I101" s="165">
        <v>45930</v>
      </c>
      <c r="J101" s="25" t="str">
        <f>+J$4</f>
        <v>BUD 2025 base</v>
      </c>
      <c r="K101" s="26"/>
      <c r="L101" s="26"/>
      <c r="M101" s="78" t="str">
        <f>+M$4</f>
        <v>BUD 2025 Adeps A</v>
      </c>
      <c r="N101" s="79"/>
      <c r="O101" s="78" t="str">
        <f>+O$4</f>
        <v>BUD 2025 Adeps B</v>
      </c>
      <c r="P101" s="19"/>
    </row>
    <row r="102" spans="2:16" customFormat="1" ht="16.5" thickBot="1">
      <c r="B102" s="27" t="s">
        <v>65</v>
      </c>
      <c r="C102" s="28"/>
      <c r="D102" s="29"/>
      <c r="E102" s="37">
        <f>+E103+E109+E110+E115+E116</f>
        <v>159339.68</v>
      </c>
      <c r="F102" s="86">
        <f>+F103+F109+F110+F115+F116</f>
        <v>157563.03999999998</v>
      </c>
      <c r="G102" s="102">
        <f>+F102/E102</f>
        <v>0.9888499838834871</v>
      </c>
      <c r="H102" s="31"/>
      <c r="I102" s="37">
        <f>+I103+I109+I110+I115+I116</f>
        <v>157958.99000000002</v>
      </c>
      <c r="J102" s="37">
        <f>+J103+J109+J110+J115+J116</f>
        <v>157589.68</v>
      </c>
      <c r="K102" s="167">
        <f>(+I102/J102)-1</f>
        <v>2.3434910204782611E-3</v>
      </c>
      <c r="L102" s="33"/>
      <c r="M102" s="37">
        <f>+M103+M109+M110+M115+M116</f>
        <v>157589.68</v>
      </c>
      <c r="N102" s="19"/>
      <c r="O102" s="37">
        <f>+O103+O109+O110+O115+O116</f>
        <v>157589.68</v>
      </c>
      <c r="P102" s="19"/>
    </row>
    <row r="103" spans="2:16" s="44" customFormat="1" ht="15">
      <c r="B103" s="363"/>
      <c r="C103" s="45">
        <v>614000</v>
      </c>
      <c r="D103" s="62" t="s">
        <v>116</v>
      </c>
      <c r="E103" s="54">
        <v>800</v>
      </c>
      <c r="F103" s="87">
        <f t="shared" ref="F103:F108" si="12">+H103</f>
        <v>1071.5</v>
      </c>
      <c r="G103" s="104"/>
      <c r="H103" s="4">
        <v>1071.5</v>
      </c>
      <c r="I103" s="4">
        <v>1061.72</v>
      </c>
      <c r="J103" s="54">
        <v>800</v>
      </c>
      <c r="K103" s="166">
        <f>(+I103/J103)-1</f>
        <v>0.32715000000000005</v>
      </c>
      <c r="L103" s="53"/>
      <c r="M103" s="54">
        <v>800</v>
      </c>
      <c r="N103" s="48"/>
      <c r="O103" s="54">
        <v>800</v>
      </c>
      <c r="P103" s="48"/>
    </row>
    <row r="104" spans="2:16" s="44" customFormat="1" ht="15">
      <c r="B104" s="363"/>
      <c r="C104" s="384">
        <v>614200</v>
      </c>
      <c r="D104" s="373" t="s">
        <v>529</v>
      </c>
      <c r="E104" s="61">
        <v>0</v>
      </c>
      <c r="F104" s="399">
        <f t="shared" si="12"/>
        <v>0</v>
      </c>
      <c r="G104" s="105"/>
      <c r="H104" s="389">
        <v>0</v>
      </c>
      <c r="I104" s="389"/>
      <c r="J104" s="61">
        <v>0</v>
      </c>
      <c r="K104" s="57"/>
      <c r="L104" s="57"/>
      <c r="M104" s="61">
        <v>0</v>
      </c>
      <c r="N104" s="48"/>
      <c r="O104" s="61">
        <v>0</v>
      </c>
      <c r="P104" s="48"/>
    </row>
    <row r="105" spans="2:16" s="44" customFormat="1" ht="15">
      <c r="B105" s="363"/>
      <c r="C105" s="375">
        <v>614200</v>
      </c>
      <c r="D105" s="369" t="s">
        <v>530</v>
      </c>
      <c r="E105" s="56">
        <v>1750</v>
      </c>
      <c r="F105" s="400">
        <f t="shared" si="12"/>
        <v>1143.68</v>
      </c>
      <c r="G105" s="105"/>
      <c r="H105" s="392">
        <v>1143.68</v>
      </c>
      <c r="I105" s="392"/>
      <c r="J105" s="56">
        <v>0</v>
      </c>
      <c r="K105" s="57"/>
      <c r="L105" s="57"/>
      <c r="M105" s="56">
        <v>0</v>
      </c>
      <c r="N105" s="48"/>
      <c r="O105" s="56">
        <v>0</v>
      </c>
      <c r="P105" s="48"/>
    </row>
    <row r="106" spans="2:16" s="44" customFormat="1" ht="15">
      <c r="B106" s="363"/>
      <c r="C106" s="375">
        <v>614200</v>
      </c>
      <c r="D106" s="369" t="s">
        <v>531</v>
      </c>
      <c r="E106" s="56">
        <v>1800</v>
      </c>
      <c r="F106" s="400">
        <f t="shared" si="12"/>
        <v>1593.5699999999997</v>
      </c>
      <c r="G106" s="105"/>
      <c r="H106" s="392">
        <v>1593.5699999999997</v>
      </c>
      <c r="I106" s="392"/>
      <c r="J106" s="56">
        <v>1200</v>
      </c>
      <c r="K106" s="57"/>
      <c r="L106" s="57"/>
      <c r="M106" s="56">
        <v>1200</v>
      </c>
      <c r="N106" s="48"/>
      <c r="O106" s="56">
        <v>1200</v>
      </c>
      <c r="P106" s="48"/>
    </row>
    <row r="107" spans="2:16" s="44" customFormat="1" ht="15">
      <c r="B107" s="363"/>
      <c r="C107" s="375">
        <v>614200</v>
      </c>
      <c r="D107" s="369" t="s">
        <v>532</v>
      </c>
      <c r="E107" s="56"/>
      <c r="F107" s="400">
        <f t="shared" si="12"/>
        <v>463.74000000000007</v>
      </c>
      <c r="G107" s="105"/>
      <c r="H107" s="392">
        <v>463.74000000000007</v>
      </c>
      <c r="I107" s="392"/>
      <c r="J107" s="56">
        <v>600</v>
      </c>
      <c r="K107" s="57"/>
      <c r="L107" s="57"/>
      <c r="M107" s="56">
        <v>600</v>
      </c>
      <c r="N107" s="48"/>
      <c r="O107" s="56">
        <v>600</v>
      </c>
      <c r="P107" s="48"/>
    </row>
    <row r="108" spans="2:16" s="44" customFormat="1" ht="15">
      <c r="B108" s="363"/>
      <c r="C108" s="375">
        <v>614200</v>
      </c>
      <c r="D108" s="369" t="s">
        <v>533</v>
      </c>
      <c r="E108" s="56">
        <v>0</v>
      </c>
      <c r="F108" s="400">
        <f t="shared" si="12"/>
        <v>0</v>
      </c>
      <c r="G108" s="105"/>
      <c r="H108" s="392">
        <v>0</v>
      </c>
      <c r="I108" s="392"/>
      <c r="J108" s="56">
        <v>0</v>
      </c>
      <c r="K108" s="57"/>
      <c r="L108" s="57"/>
      <c r="M108" s="56">
        <v>0</v>
      </c>
      <c r="N108" s="48"/>
      <c r="O108" s="56">
        <v>0</v>
      </c>
      <c r="P108" s="48"/>
    </row>
    <row r="109" spans="2:16" s="44" customFormat="1" ht="15">
      <c r="B109" s="363"/>
      <c r="C109" s="63">
        <v>614200</v>
      </c>
      <c r="D109" s="55" t="s">
        <v>117</v>
      </c>
      <c r="E109" s="64">
        <f>SUM(E104:E108)</f>
        <v>3550</v>
      </c>
      <c r="F109" s="84">
        <f>SUM(F104:F108)</f>
        <v>3200.9900000000002</v>
      </c>
      <c r="G109" s="104"/>
      <c r="H109" s="3">
        <v>3200.99</v>
      </c>
      <c r="I109" s="3">
        <v>1806.94</v>
      </c>
      <c r="J109" s="64">
        <f>SUM(J104:J108)</f>
        <v>1800</v>
      </c>
      <c r="K109" s="166">
        <f>(+I109/J109)-1</f>
        <v>3.855555555555501E-3</v>
      </c>
      <c r="L109" s="53"/>
      <c r="M109" s="64">
        <f>SUM(M104:M108)</f>
        <v>1800</v>
      </c>
      <c r="N109" s="48"/>
      <c r="O109" s="64">
        <f>SUM(O104:O108)</f>
        <v>1800</v>
      </c>
      <c r="P109" s="48"/>
    </row>
    <row r="110" spans="2:16" s="44" customFormat="1" ht="15">
      <c r="B110" s="363"/>
      <c r="C110" s="45">
        <v>614300</v>
      </c>
      <c r="D110" s="46" t="s">
        <v>534</v>
      </c>
      <c r="E110" s="60">
        <v>145989.68</v>
      </c>
      <c r="F110" s="87">
        <f>+H110</f>
        <v>145989.68</v>
      </c>
      <c r="G110" s="104"/>
      <c r="H110" s="4">
        <v>145989.68</v>
      </c>
      <c r="I110" s="4">
        <v>146419.64000000001</v>
      </c>
      <c r="J110" s="60">
        <v>145989.68</v>
      </c>
      <c r="K110" s="166">
        <f>(+I110/J110)-1</f>
        <v>2.9451396838462429E-3</v>
      </c>
      <c r="L110" s="53"/>
      <c r="M110" s="60">
        <v>145989.68</v>
      </c>
      <c r="N110" s="48"/>
      <c r="O110" s="60">
        <v>145989.68</v>
      </c>
      <c r="P110" s="48"/>
    </row>
    <row r="111" spans="2:16" s="44" customFormat="1" ht="45.95" hidden="1" customHeight="1">
      <c r="B111" s="363"/>
      <c r="C111" s="372">
        <v>614500</v>
      </c>
      <c r="D111" s="373" t="s">
        <v>119</v>
      </c>
      <c r="E111" s="65">
        <v>600</v>
      </c>
      <c r="F111" s="399">
        <f t="shared" ref="F111:F114" si="13">+H111</f>
        <v>600.56000000000006</v>
      </c>
      <c r="G111" s="105"/>
      <c r="H111" s="389">
        <v>600.56000000000006</v>
      </c>
      <c r="I111" s="389"/>
      <c r="J111" s="65">
        <v>600</v>
      </c>
      <c r="K111" s="166">
        <f t="shared" ref="K111:K116" si="14">(+I111/J111)-1</f>
        <v>-1</v>
      </c>
      <c r="L111" s="57"/>
      <c r="M111" s="65">
        <v>600</v>
      </c>
      <c r="N111" s="48"/>
      <c r="O111" s="65">
        <v>600</v>
      </c>
      <c r="P111" s="48"/>
    </row>
    <row r="112" spans="2:16" s="44" customFormat="1" ht="45.95" hidden="1" customHeight="1">
      <c r="B112" s="363"/>
      <c r="C112" s="374">
        <v>614500</v>
      </c>
      <c r="D112" s="369" t="s">
        <v>120</v>
      </c>
      <c r="E112" s="66">
        <v>2800</v>
      </c>
      <c r="F112" s="400">
        <f t="shared" si="13"/>
        <v>2654.78</v>
      </c>
      <c r="G112" s="105"/>
      <c r="H112" s="392">
        <v>2654.78</v>
      </c>
      <c r="I112" s="392"/>
      <c r="J112" s="66">
        <v>2800</v>
      </c>
      <c r="K112" s="166">
        <f t="shared" si="14"/>
        <v>-1</v>
      </c>
      <c r="L112" s="57"/>
      <c r="M112" s="66">
        <v>2800</v>
      </c>
      <c r="N112" s="48"/>
      <c r="O112" s="66">
        <v>2800</v>
      </c>
      <c r="P112" s="48"/>
    </row>
    <row r="113" spans="2:16" s="44" customFormat="1" ht="45.95" hidden="1" customHeight="1">
      <c r="B113" s="363"/>
      <c r="C113" s="374">
        <v>614500</v>
      </c>
      <c r="D113" s="369" t="s">
        <v>121</v>
      </c>
      <c r="E113" s="66">
        <v>1000</v>
      </c>
      <c r="F113" s="400">
        <f t="shared" si="13"/>
        <v>711.32999999999993</v>
      </c>
      <c r="G113" s="105"/>
      <c r="H113" s="392">
        <v>711.32999999999993</v>
      </c>
      <c r="I113" s="392"/>
      <c r="J113" s="66">
        <v>1000</v>
      </c>
      <c r="K113" s="166">
        <f t="shared" si="14"/>
        <v>-1</v>
      </c>
      <c r="L113" s="57"/>
      <c r="M113" s="66">
        <v>1000</v>
      </c>
      <c r="N113" s="48"/>
      <c r="O113" s="66">
        <v>1000</v>
      </c>
      <c r="P113" s="48"/>
    </row>
    <row r="114" spans="2:16" s="44" customFormat="1" ht="45.95" hidden="1" customHeight="1">
      <c r="B114" s="363"/>
      <c r="C114" s="374">
        <v>614500</v>
      </c>
      <c r="D114" s="369" t="s">
        <v>122</v>
      </c>
      <c r="E114" s="66">
        <v>600</v>
      </c>
      <c r="F114" s="400">
        <f t="shared" si="13"/>
        <v>233.67000000000002</v>
      </c>
      <c r="G114" s="105"/>
      <c r="H114" s="392">
        <v>233.67000000000002</v>
      </c>
      <c r="I114" s="392"/>
      <c r="J114" s="66">
        <v>600</v>
      </c>
      <c r="K114" s="166">
        <f t="shared" si="14"/>
        <v>-1</v>
      </c>
      <c r="L114" s="57"/>
      <c r="M114" s="66">
        <v>600</v>
      </c>
      <c r="N114" s="48"/>
      <c r="O114" s="66">
        <v>600</v>
      </c>
      <c r="P114" s="48"/>
    </row>
    <row r="115" spans="2:16" s="44" customFormat="1" ht="15">
      <c r="B115" s="363"/>
      <c r="C115" s="50">
        <v>614500</v>
      </c>
      <c r="D115" s="55" t="s">
        <v>123</v>
      </c>
      <c r="E115" s="64">
        <f>SUM(E111:E114)</f>
        <v>5000</v>
      </c>
      <c r="F115" s="84">
        <f>+H115</f>
        <v>4200.34</v>
      </c>
      <c r="G115" s="104"/>
      <c r="H115" s="3">
        <v>4200.34</v>
      </c>
      <c r="I115" s="3">
        <v>8670.69</v>
      </c>
      <c r="J115" s="64">
        <f>SUM(J111:J114)</f>
        <v>5000</v>
      </c>
      <c r="K115" s="166">
        <f t="shared" si="14"/>
        <v>0.73413800000000018</v>
      </c>
      <c r="L115" s="53"/>
      <c r="M115" s="64">
        <f>SUM(M111:M114)</f>
        <v>5000</v>
      </c>
      <c r="N115" s="48"/>
      <c r="O115" s="64">
        <f>SUM(O111:O114)</f>
        <v>5000</v>
      </c>
      <c r="P115" s="48"/>
    </row>
    <row r="116" spans="2:16" s="44" customFormat="1" ht="15">
      <c r="B116" s="363"/>
      <c r="C116" s="45">
        <v>614510</v>
      </c>
      <c r="D116" s="46" t="s">
        <v>535</v>
      </c>
      <c r="E116" s="60">
        <v>4000</v>
      </c>
      <c r="F116" s="87">
        <f>+H116</f>
        <v>3100.5299999999997</v>
      </c>
      <c r="G116" s="104"/>
      <c r="H116" s="4">
        <v>3100.5299999999997</v>
      </c>
      <c r="I116" s="4">
        <v>0</v>
      </c>
      <c r="J116" s="60">
        <v>4000</v>
      </c>
      <c r="K116" s="166">
        <f t="shared" si="14"/>
        <v>-1</v>
      </c>
      <c r="L116" s="53"/>
      <c r="M116" s="60">
        <v>4000</v>
      </c>
      <c r="N116" s="48"/>
      <c r="O116" s="60">
        <v>4000</v>
      </c>
      <c r="P116" s="48"/>
    </row>
    <row r="117" spans="2:16" s="44" customFormat="1" ht="15">
      <c r="B117" s="363"/>
      <c r="C117" s="49"/>
      <c r="D117" s="47"/>
      <c r="E117" s="47"/>
      <c r="F117" s="85"/>
      <c r="G117" s="104"/>
      <c r="H117" s="47"/>
      <c r="I117" s="47"/>
      <c r="J117" s="47"/>
      <c r="K117" s="47"/>
      <c r="L117" s="47"/>
      <c r="M117" s="47"/>
      <c r="N117" s="48"/>
      <c r="O117" s="47"/>
      <c r="P117" s="48"/>
    </row>
    <row r="118" spans="2:16" customFormat="1" ht="32.25" thickBot="1">
      <c r="C118" s="23"/>
      <c r="D118" s="24"/>
      <c r="E118" s="25" t="str">
        <f>+E$4</f>
        <v>BUDGET 2024</v>
      </c>
      <c r="F118" s="81" t="str">
        <f>F$4</f>
        <v>Au 27/11/2024</v>
      </c>
      <c r="G118" s="101"/>
      <c r="H118" s="25" t="s">
        <v>50</v>
      </c>
      <c r="I118" s="165">
        <v>45930</v>
      </c>
      <c r="J118" s="25" t="str">
        <f>+J$4</f>
        <v>BUD 2025 base</v>
      </c>
      <c r="K118" s="24"/>
      <c r="L118" s="24"/>
      <c r="M118" s="78" t="str">
        <f>+M$4</f>
        <v>BUD 2025 Adeps A</v>
      </c>
      <c r="N118" s="79"/>
      <c r="O118" s="78" t="str">
        <f>+O$4</f>
        <v>BUD 2025 Adeps B</v>
      </c>
      <c r="P118" s="19"/>
    </row>
    <row r="119" spans="2:16" customFormat="1" ht="16.5" thickBot="1">
      <c r="B119" s="27" t="s">
        <v>67</v>
      </c>
      <c r="C119" s="28"/>
      <c r="D119" s="29"/>
      <c r="E119" s="37">
        <f>SUM(E120:E129)</f>
        <v>23750</v>
      </c>
      <c r="F119" s="86">
        <f>+F120+F121+F122+F123+F124+F125+F126+F127+F129</f>
        <v>14439.93</v>
      </c>
      <c r="G119" s="102">
        <f>+F119/E119</f>
        <v>0.60799705263157899</v>
      </c>
      <c r="H119" s="31"/>
      <c r="I119" s="37">
        <f>SUM(I120:I129)</f>
        <v>10747.63</v>
      </c>
      <c r="J119" s="37">
        <f>SUM(J120:J129)</f>
        <v>36950</v>
      </c>
      <c r="K119" s="167">
        <f>(+I119/J119)-1</f>
        <v>-0.70913044654939106</v>
      </c>
      <c r="L119" s="33"/>
      <c r="M119" s="37">
        <f>SUM(M120:M129)</f>
        <v>36950</v>
      </c>
      <c r="N119" s="19"/>
      <c r="O119" s="37">
        <f>SUM(O120:O129)</f>
        <v>36950</v>
      </c>
      <c r="P119" s="19"/>
    </row>
    <row r="120" spans="2:16" s="44" customFormat="1" ht="15">
      <c r="B120" s="363"/>
      <c r="C120" s="45">
        <v>615000</v>
      </c>
      <c r="D120" s="46" t="s">
        <v>536</v>
      </c>
      <c r="E120" s="60">
        <v>0</v>
      </c>
      <c r="F120" s="87">
        <f>+H120</f>
        <v>0</v>
      </c>
      <c r="G120" s="104"/>
      <c r="H120" s="4">
        <v>0</v>
      </c>
      <c r="I120" s="4"/>
      <c r="J120" s="60">
        <v>0</v>
      </c>
      <c r="K120" s="53"/>
      <c r="L120" s="53"/>
      <c r="M120" s="60">
        <v>0</v>
      </c>
      <c r="N120" s="48"/>
      <c r="O120" s="60">
        <v>0</v>
      </c>
      <c r="P120" s="48"/>
    </row>
    <row r="121" spans="2:16" s="44" customFormat="1" ht="15">
      <c r="B121" s="363"/>
      <c r="C121" s="45">
        <v>615100</v>
      </c>
      <c r="D121" s="46" t="s">
        <v>537</v>
      </c>
      <c r="E121" s="60">
        <v>250</v>
      </c>
      <c r="F121" s="87">
        <f>+H121</f>
        <v>315.33</v>
      </c>
      <c r="G121" s="104"/>
      <c r="H121" s="4">
        <v>315.33</v>
      </c>
      <c r="I121" s="4">
        <v>157.91</v>
      </c>
      <c r="J121" s="60">
        <v>250</v>
      </c>
      <c r="K121" s="166">
        <f t="shared" ref="K121:K124" si="15">(+I121/J121)-1</f>
        <v>-0.36836000000000002</v>
      </c>
      <c r="L121" s="53"/>
      <c r="M121" s="60">
        <v>250</v>
      </c>
      <c r="N121" s="48"/>
      <c r="O121" s="60">
        <v>250</v>
      </c>
      <c r="P121" s="48"/>
    </row>
    <row r="122" spans="2:16" s="44" customFormat="1" ht="15">
      <c r="B122" s="363"/>
      <c r="C122" s="45">
        <v>615200</v>
      </c>
      <c r="D122" s="46" t="s">
        <v>414</v>
      </c>
      <c r="E122" s="60">
        <v>15000</v>
      </c>
      <c r="F122" s="87">
        <f>+H122</f>
        <v>8989.0400000000009</v>
      </c>
      <c r="G122" s="104"/>
      <c r="H122" s="4">
        <v>8989.0400000000009</v>
      </c>
      <c r="I122" s="4">
        <v>7929.99</v>
      </c>
      <c r="J122" s="60">
        <v>15000</v>
      </c>
      <c r="K122" s="166">
        <f t="shared" si="15"/>
        <v>-0.47133400000000003</v>
      </c>
      <c r="L122" s="53"/>
      <c r="M122" s="60">
        <v>15000</v>
      </c>
      <c r="N122" s="48"/>
      <c r="O122" s="60">
        <v>15000</v>
      </c>
      <c r="P122" s="48"/>
    </row>
    <row r="123" spans="2:16" s="44" customFormat="1" ht="15">
      <c r="B123" s="363"/>
      <c r="C123" s="45">
        <v>615210</v>
      </c>
      <c r="D123" s="46" t="s">
        <v>538</v>
      </c>
      <c r="E123" s="60">
        <v>0</v>
      </c>
      <c r="F123" s="87">
        <f t="shared" ref="F123:F129" si="16">+H123</f>
        <v>0</v>
      </c>
      <c r="G123" s="104"/>
      <c r="H123" s="4">
        <v>0</v>
      </c>
      <c r="I123" s="4"/>
      <c r="J123" s="60">
        <v>0</v>
      </c>
      <c r="K123" s="53"/>
      <c r="L123" s="53"/>
      <c r="M123" s="60">
        <v>0</v>
      </c>
      <c r="N123" s="48"/>
      <c r="O123" s="60">
        <v>0</v>
      </c>
      <c r="P123" s="48"/>
    </row>
    <row r="124" spans="2:16" s="44" customFormat="1" ht="15">
      <c r="B124" s="363"/>
      <c r="C124" s="45">
        <v>615300</v>
      </c>
      <c r="D124" s="46" t="s">
        <v>539</v>
      </c>
      <c r="E124" s="60">
        <v>2000</v>
      </c>
      <c r="F124" s="87">
        <f t="shared" si="16"/>
        <v>3767.66</v>
      </c>
      <c r="G124" s="104"/>
      <c r="H124" s="4">
        <v>3767.66</v>
      </c>
      <c r="I124" s="4">
        <v>1515.73</v>
      </c>
      <c r="J124" s="60">
        <v>4000</v>
      </c>
      <c r="K124" s="166">
        <f t="shared" si="15"/>
        <v>-0.62106749999999999</v>
      </c>
      <c r="L124" s="53"/>
      <c r="M124" s="60">
        <v>4000</v>
      </c>
      <c r="N124" s="48"/>
      <c r="O124" s="60">
        <v>4000</v>
      </c>
      <c r="P124" s="48"/>
    </row>
    <row r="125" spans="2:16" s="44" customFormat="1" ht="15">
      <c r="B125" s="363"/>
      <c r="C125" s="45">
        <v>615310</v>
      </c>
      <c r="D125" s="46" t="s">
        <v>540</v>
      </c>
      <c r="E125" s="60">
        <v>0</v>
      </c>
      <c r="F125" s="87">
        <f t="shared" si="16"/>
        <v>0</v>
      </c>
      <c r="G125" s="104"/>
      <c r="H125" s="4">
        <v>0</v>
      </c>
      <c r="I125" s="4"/>
      <c r="J125" s="60">
        <v>0</v>
      </c>
      <c r="K125" s="53"/>
      <c r="L125" s="53"/>
      <c r="M125" s="60">
        <v>0</v>
      </c>
      <c r="N125" s="48"/>
      <c r="O125" s="60">
        <v>0</v>
      </c>
      <c r="P125" s="48"/>
    </row>
    <row r="126" spans="2:16" s="44" customFormat="1" ht="15">
      <c r="B126" s="363"/>
      <c r="C126" s="45">
        <v>615320</v>
      </c>
      <c r="D126" s="46" t="s">
        <v>541</v>
      </c>
      <c r="E126" s="60"/>
      <c r="F126" s="87">
        <f t="shared" si="16"/>
        <v>900</v>
      </c>
      <c r="G126" s="104"/>
      <c r="H126" s="4">
        <v>900</v>
      </c>
      <c r="I126" s="4">
        <v>900</v>
      </c>
      <c r="J126" s="60">
        <v>1200</v>
      </c>
      <c r="K126" s="168">
        <v>-0.4713</v>
      </c>
      <c r="L126" s="53"/>
      <c r="M126" s="60">
        <v>1200</v>
      </c>
      <c r="N126" s="48"/>
      <c r="O126" s="60">
        <v>1200</v>
      </c>
      <c r="P126" s="48"/>
    </row>
    <row r="127" spans="2:16" s="44" customFormat="1" ht="15">
      <c r="B127" s="363"/>
      <c r="C127" s="45">
        <v>615400</v>
      </c>
      <c r="D127" s="46" t="s">
        <v>542</v>
      </c>
      <c r="E127" s="60">
        <v>5000</v>
      </c>
      <c r="F127" s="87">
        <f t="shared" si="16"/>
        <v>0</v>
      </c>
      <c r="G127" s="104"/>
      <c r="H127" s="4">
        <v>0</v>
      </c>
      <c r="I127" s="4"/>
      <c r="J127" s="60">
        <v>5000</v>
      </c>
      <c r="K127" s="53"/>
      <c r="L127" s="53"/>
      <c r="M127" s="60">
        <v>5000</v>
      </c>
      <c r="N127" s="48"/>
      <c r="O127" s="60">
        <v>5000</v>
      </c>
      <c r="P127" s="48"/>
    </row>
    <row r="128" spans="2:16" s="44" customFormat="1" ht="15">
      <c r="B128" s="363"/>
      <c r="C128" s="45">
        <v>615410</v>
      </c>
      <c r="D128" s="46" t="s">
        <v>543</v>
      </c>
      <c r="E128" s="60"/>
      <c r="F128" s="87">
        <f t="shared" si="16"/>
        <v>0</v>
      </c>
      <c r="G128" s="104"/>
      <c r="H128" s="4">
        <v>0</v>
      </c>
      <c r="I128" s="4"/>
      <c r="J128" s="60">
        <v>10000</v>
      </c>
      <c r="K128" s="53"/>
      <c r="L128" s="53"/>
      <c r="M128" s="60">
        <v>10000</v>
      </c>
      <c r="N128" s="48"/>
      <c r="O128" s="60">
        <v>10000</v>
      </c>
      <c r="P128" s="48"/>
    </row>
    <row r="129" spans="1:16" s="44" customFormat="1" ht="15">
      <c r="A129" s="363"/>
      <c r="B129" s="363"/>
      <c r="C129" s="45">
        <v>615500</v>
      </c>
      <c r="D129" s="46" t="s">
        <v>544</v>
      </c>
      <c r="E129" s="60">
        <v>1500</v>
      </c>
      <c r="F129" s="87">
        <f t="shared" si="16"/>
        <v>467.9</v>
      </c>
      <c r="G129" s="104"/>
      <c r="H129" s="4">
        <v>467.9</v>
      </c>
      <c r="I129" s="4">
        <v>244</v>
      </c>
      <c r="J129" s="60">
        <v>1500</v>
      </c>
      <c r="K129" s="168">
        <v>-0.4713</v>
      </c>
      <c r="L129" s="53"/>
      <c r="M129" s="60">
        <v>1500</v>
      </c>
      <c r="N129" s="48"/>
      <c r="O129" s="60">
        <v>1500</v>
      </c>
      <c r="P129" s="48"/>
    </row>
    <row r="130" spans="1:16" s="44" customFormat="1" ht="15.75">
      <c r="A130" s="363"/>
      <c r="B130" s="363"/>
      <c r="C130" s="49"/>
      <c r="D130" s="47"/>
      <c r="E130" s="53"/>
      <c r="F130" s="88"/>
      <c r="G130" s="104"/>
      <c r="H130" s="5"/>
      <c r="I130" s="5"/>
      <c r="J130" s="53"/>
      <c r="K130" s="428"/>
      <c r="L130" s="428"/>
      <c r="M130" s="53"/>
      <c r="N130" s="48"/>
      <c r="O130" s="53"/>
      <c r="P130" s="48"/>
    </row>
    <row r="131" spans="1:16" customFormat="1" ht="16.5" thickBot="1">
      <c r="C131" s="23"/>
      <c r="D131" s="24"/>
      <c r="E131" s="25" t="str">
        <f>+E$4</f>
        <v>BUDGET 2024</v>
      </c>
      <c r="F131" s="81" t="str">
        <f>F$4</f>
        <v>Au 27/11/2024</v>
      </c>
      <c r="G131" s="184"/>
      <c r="H131" s="25" t="s">
        <v>50</v>
      </c>
      <c r="I131" s="165">
        <v>45930</v>
      </c>
      <c r="J131" s="25" t="str">
        <f>+J$4</f>
        <v>BUD 2025 base</v>
      </c>
      <c r="M131" s="179"/>
      <c r="N131" s="19"/>
      <c r="O131" s="179"/>
      <c r="P131" s="19"/>
    </row>
    <row r="132" spans="1:16" customFormat="1" ht="16.5" thickBot="1">
      <c r="B132" s="27" t="s">
        <v>545</v>
      </c>
      <c r="C132" s="28"/>
      <c r="D132" s="29"/>
      <c r="E132" s="37">
        <f>+E162+E170+E190+E191+E192</f>
        <v>118900</v>
      </c>
      <c r="F132" s="35">
        <f>+F162+F170+F190+F191+F192</f>
        <v>16423.28</v>
      </c>
      <c r="G132" s="178">
        <f>+F132/E132</f>
        <v>0.13812682926829267</v>
      </c>
      <c r="H132" s="31"/>
      <c r="I132" s="37">
        <f>+I162+I170+I190+I191+I192</f>
        <v>55028.89</v>
      </c>
      <c r="J132" s="192">
        <f>+J162+J170+J190+J191+J192</f>
        <v>262300</v>
      </c>
      <c r="K132" s="167">
        <f>(+I132/J132)-1</f>
        <v>-0.79020629050705304</v>
      </c>
      <c r="L132" s="19"/>
      <c r="M132" s="179"/>
      <c r="N132" s="19"/>
      <c r="O132" s="179"/>
      <c r="P132" s="19"/>
    </row>
    <row r="133" spans="1:16" s="199" customFormat="1" ht="15" customHeight="1">
      <c r="A133" s="195"/>
      <c r="B133" s="195"/>
      <c r="C133" s="377">
        <v>615600</v>
      </c>
      <c r="D133" s="379" t="s">
        <v>546</v>
      </c>
      <c r="E133" s="406">
        <v>0</v>
      </c>
      <c r="F133" s="406">
        <f t="shared" ref="F133:F169" si="17">+H133</f>
        <v>0</v>
      </c>
      <c r="G133" s="407"/>
      <c r="H133" s="406">
        <v>0</v>
      </c>
      <c r="I133" s="406">
        <v>11823.27</v>
      </c>
      <c r="J133" s="406">
        <v>0</v>
      </c>
      <c r="K133" s="196"/>
      <c r="L133" s="197"/>
      <c r="M133" s="198"/>
      <c r="N133" s="196"/>
      <c r="O133" s="198"/>
      <c r="P133" s="196"/>
    </row>
    <row r="134" spans="1:16" s="199" customFormat="1" ht="15" customHeight="1">
      <c r="A134" s="195"/>
      <c r="B134" s="195"/>
      <c r="C134" s="380">
        <v>615600</v>
      </c>
      <c r="D134" s="382" t="s">
        <v>547</v>
      </c>
      <c r="E134" s="382">
        <v>0</v>
      </c>
      <c r="F134" s="408">
        <f t="shared" si="17"/>
        <v>0</v>
      </c>
      <c r="G134" s="407"/>
      <c r="H134" s="408">
        <v>0</v>
      </c>
      <c r="I134" s="408">
        <v>0</v>
      </c>
      <c r="J134" s="408">
        <v>0</v>
      </c>
      <c r="K134" s="196"/>
      <c r="L134" s="197"/>
      <c r="M134" s="198"/>
      <c r="N134" s="196"/>
      <c r="O134" s="198"/>
      <c r="P134" s="196"/>
    </row>
    <row r="135" spans="1:16" s="199" customFormat="1" ht="15" customHeight="1">
      <c r="A135" s="195"/>
      <c r="B135" s="195"/>
      <c r="C135" s="380">
        <v>615600</v>
      </c>
      <c r="D135" s="382" t="s">
        <v>548</v>
      </c>
      <c r="E135" s="382"/>
      <c r="F135" s="408">
        <f t="shared" si="17"/>
        <v>0</v>
      </c>
      <c r="G135" s="407"/>
      <c r="H135" s="408">
        <v>0</v>
      </c>
      <c r="I135" s="408">
        <v>0</v>
      </c>
      <c r="J135" s="409">
        <v>12000</v>
      </c>
      <c r="K135" s="196" t="s">
        <v>549</v>
      </c>
      <c r="L135" s="197"/>
      <c r="M135" s="198"/>
      <c r="N135" s="196"/>
      <c r="O135" s="198"/>
      <c r="P135" s="196"/>
    </row>
    <row r="136" spans="1:16" s="199" customFormat="1" ht="15" customHeight="1">
      <c r="A136" s="195"/>
      <c r="B136" s="195"/>
      <c r="C136" s="380">
        <v>615600</v>
      </c>
      <c r="D136" s="382" t="s">
        <v>550</v>
      </c>
      <c r="E136" s="382"/>
      <c r="F136" s="408">
        <f t="shared" si="17"/>
        <v>0</v>
      </c>
      <c r="G136" s="407"/>
      <c r="H136" s="408">
        <v>0</v>
      </c>
      <c r="I136" s="408">
        <v>0</v>
      </c>
      <c r="J136" s="409">
        <v>5000</v>
      </c>
      <c r="K136" s="196" t="s">
        <v>549</v>
      </c>
      <c r="L136" s="197"/>
      <c r="M136" s="198"/>
      <c r="N136" s="196"/>
      <c r="O136" s="198"/>
      <c r="P136" s="196"/>
    </row>
    <row r="137" spans="1:16" s="199" customFormat="1" ht="15" customHeight="1">
      <c r="A137" s="195"/>
      <c r="B137" s="195"/>
      <c r="C137" s="380">
        <v>615600</v>
      </c>
      <c r="D137" s="382" t="s">
        <v>551</v>
      </c>
      <c r="E137" s="382"/>
      <c r="F137" s="408">
        <f t="shared" si="17"/>
        <v>0</v>
      </c>
      <c r="G137" s="407"/>
      <c r="H137" s="408">
        <v>0</v>
      </c>
      <c r="I137" s="408">
        <v>0</v>
      </c>
      <c r="J137" s="409">
        <v>8000</v>
      </c>
      <c r="K137" s="196" t="s">
        <v>549</v>
      </c>
      <c r="L137" s="197"/>
      <c r="M137" s="198"/>
      <c r="N137" s="196"/>
      <c r="O137" s="198"/>
      <c r="P137" s="196"/>
    </row>
    <row r="138" spans="1:16" s="199" customFormat="1" ht="15" customHeight="1">
      <c r="A138" s="195"/>
      <c r="B138" s="195"/>
      <c r="C138" s="380">
        <v>615600</v>
      </c>
      <c r="D138" s="382" t="s">
        <v>552</v>
      </c>
      <c r="E138" s="382"/>
      <c r="F138" s="408">
        <f t="shared" si="17"/>
        <v>0</v>
      </c>
      <c r="G138" s="407"/>
      <c r="H138" s="408">
        <v>0</v>
      </c>
      <c r="I138" s="408">
        <v>0</v>
      </c>
      <c r="J138" s="382">
        <v>10000</v>
      </c>
      <c r="K138" s="196"/>
      <c r="L138" s="197"/>
      <c r="M138" s="198"/>
      <c r="N138" s="196"/>
      <c r="O138" s="198"/>
      <c r="P138" s="196"/>
    </row>
    <row r="139" spans="1:16" s="199" customFormat="1" ht="15" customHeight="1">
      <c r="A139" s="195"/>
      <c r="B139" s="195"/>
      <c r="C139" s="380">
        <v>615600</v>
      </c>
      <c r="D139" s="382" t="s">
        <v>553</v>
      </c>
      <c r="E139" s="382"/>
      <c r="F139" s="408">
        <f t="shared" si="17"/>
        <v>0</v>
      </c>
      <c r="G139" s="407"/>
      <c r="H139" s="408">
        <v>0</v>
      </c>
      <c r="I139" s="408">
        <v>0</v>
      </c>
      <c r="J139" s="410">
        <v>16000</v>
      </c>
      <c r="K139" s="196" t="s">
        <v>549</v>
      </c>
      <c r="L139" s="197"/>
      <c r="M139" s="198"/>
      <c r="N139" s="196"/>
      <c r="O139" s="198"/>
      <c r="P139" s="196"/>
    </row>
    <row r="140" spans="1:16" s="199" customFormat="1" ht="15" customHeight="1">
      <c r="A140" s="195"/>
      <c r="B140" s="195"/>
      <c r="C140" s="380">
        <v>615600</v>
      </c>
      <c r="D140" s="382" t="s">
        <v>554</v>
      </c>
      <c r="E140" s="382"/>
      <c r="F140" s="408">
        <f t="shared" si="17"/>
        <v>0</v>
      </c>
      <c r="G140" s="407"/>
      <c r="H140" s="408">
        <v>0</v>
      </c>
      <c r="I140" s="408">
        <v>0</v>
      </c>
      <c r="J140" s="410">
        <v>8000</v>
      </c>
      <c r="K140" s="196" t="s">
        <v>549</v>
      </c>
      <c r="L140" s="197"/>
      <c r="M140" s="198"/>
      <c r="N140" s="196"/>
      <c r="O140" s="198"/>
      <c r="P140" s="196"/>
    </row>
    <row r="141" spans="1:16" s="199" customFormat="1" ht="15" customHeight="1">
      <c r="A141" s="195"/>
      <c r="B141" s="195"/>
      <c r="C141" s="380">
        <v>615600</v>
      </c>
      <c r="D141" s="382" t="s">
        <v>555</v>
      </c>
      <c r="E141" s="382"/>
      <c r="F141" s="408">
        <f t="shared" si="17"/>
        <v>0</v>
      </c>
      <c r="G141" s="407"/>
      <c r="H141" s="408">
        <v>0</v>
      </c>
      <c r="I141" s="408">
        <v>0</v>
      </c>
      <c r="J141" s="410">
        <v>2000</v>
      </c>
      <c r="K141" s="196" t="s">
        <v>549</v>
      </c>
      <c r="L141" s="197"/>
      <c r="M141" s="198"/>
      <c r="N141" s="196"/>
      <c r="O141" s="198"/>
      <c r="P141" s="196"/>
    </row>
    <row r="142" spans="1:16" s="199" customFormat="1" ht="15" customHeight="1">
      <c r="A142" s="195"/>
      <c r="B142" s="195"/>
      <c r="C142" s="380">
        <v>615600</v>
      </c>
      <c r="D142" s="382" t="s">
        <v>556</v>
      </c>
      <c r="E142" s="382"/>
      <c r="F142" s="408">
        <f t="shared" si="17"/>
        <v>0</v>
      </c>
      <c r="G142" s="407"/>
      <c r="H142" s="408">
        <v>0</v>
      </c>
      <c r="I142" s="408">
        <v>0</v>
      </c>
      <c r="J142" s="410">
        <v>2000</v>
      </c>
      <c r="K142" s="196" t="s">
        <v>549</v>
      </c>
      <c r="L142" s="197"/>
      <c r="M142" s="198"/>
      <c r="N142" s="196"/>
      <c r="O142" s="198"/>
      <c r="P142" s="196"/>
    </row>
    <row r="143" spans="1:16" s="199" customFormat="1" ht="15" customHeight="1">
      <c r="A143" s="195"/>
      <c r="B143" s="195"/>
      <c r="C143" s="380">
        <v>615600</v>
      </c>
      <c r="D143" s="382" t="s">
        <v>557</v>
      </c>
      <c r="E143" s="382"/>
      <c r="F143" s="408">
        <f t="shared" si="17"/>
        <v>0</v>
      </c>
      <c r="G143" s="407"/>
      <c r="H143" s="408">
        <v>0</v>
      </c>
      <c r="I143" s="408">
        <v>0</v>
      </c>
      <c r="J143" s="410">
        <v>40000</v>
      </c>
      <c r="K143" s="196" t="s">
        <v>549</v>
      </c>
      <c r="L143" s="197"/>
      <c r="M143" s="198"/>
      <c r="N143" s="196"/>
      <c r="O143" s="198"/>
      <c r="P143" s="196"/>
    </row>
    <row r="144" spans="1:16" s="199" customFormat="1" ht="15" customHeight="1">
      <c r="A144" s="195"/>
      <c r="B144" s="195"/>
      <c r="C144" s="380">
        <v>615600</v>
      </c>
      <c r="D144" s="382" t="s">
        <v>558</v>
      </c>
      <c r="E144" s="382"/>
      <c r="F144" s="408">
        <f t="shared" si="17"/>
        <v>0</v>
      </c>
      <c r="G144" s="407"/>
      <c r="H144" s="408">
        <v>0</v>
      </c>
      <c r="I144" s="408">
        <v>0</v>
      </c>
      <c r="J144" s="410">
        <v>10000</v>
      </c>
      <c r="K144" s="196" t="s">
        <v>549</v>
      </c>
      <c r="L144" s="197"/>
      <c r="M144" s="198"/>
      <c r="N144" s="196"/>
      <c r="O144" s="198"/>
      <c r="P144" s="196"/>
    </row>
    <row r="145" spans="1:16" s="199" customFormat="1" ht="15" customHeight="1">
      <c r="A145" s="195"/>
      <c r="B145" s="195"/>
      <c r="C145" s="380">
        <v>615600</v>
      </c>
      <c r="D145" s="382" t="s">
        <v>559</v>
      </c>
      <c r="E145" s="382"/>
      <c r="F145" s="408">
        <f t="shared" si="17"/>
        <v>0</v>
      </c>
      <c r="G145" s="407"/>
      <c r="H145" s="408">
        <v>0</v>
      </c>
      <c r="I145" s="408">
        <v>0</v>
      </c>
      <c r="J145" s="410">
        <v>2000</v>
      </c>
      <c r="K145" s="196" t="s">
        <v>549</v>
      </c>
      <c r="L145" s="197"/>
      <c r="M145" s="198"/>
      <c r="N145" s="196"/>
      <c r="O145" s="198"/>
      <c r="P145" s="196"/>
    </row>
    <row r="146" spans="1:16" s="199" customFormat="1" ht="15" customHeight="1">
      <c r="A146" s="195"/>
      <c r="B146" s="195"/>
      <c r="C146" s="380">
        <v>615600</v>
      </c>
      <c r="D146" s="382" t="s">
        <v>560</v>
      </c>
      <c r="E146" s="382"/>
      <c r="F146" s="408">
        <f t="shared" si="17"/>
        <v>0</v>
      </c>
      <c r="G146" s="407"/>
      <c r="H146" s="408">
        <v>0</v>
      </c>
      <c r="I146" s="408">
        <v>0</v>
      </c>
      <c r="J146" s="410">
        <v>2500</v>
      </c>
      <c r="K146" s="196" t="s">
        <v>549</v>
      </c>
      <c r="L146" s="197"/>
      <c r="M146" s="198"/>
      <c r="N146" s="196"/>
      <c r="O146" s="198"/>
      <c r="P146" s="196"/>
    </row>
    <row r="147" spans="1:16" s="199" customFormat="1" ht="15" customHeight="1">
      <c r="A147" s="195"/>
      <c r="B147" s="195"/>
      <c r="C147" s="380">
        <v>615600</v>
      </c>
      <c r="D147" s="382" t="s">
        <v>561</v>
      </c>
      <c r="E147" s="382"/>
      <c r="F147" s="408">
        <f t="shared" si="17"/>
        <v>0</v>
      </c>
      <c r="G147" s="407"/>
      <c r="H147" s="408">
        <v>0</v>
      </c>
      <c r="I147" s="408">
        <v>0</v>
      </c>
      <c r="J147" s="410">
        <v>10000</v>
      </c>
      <c r="K147" s="196" t="s">
        <v>549</v>
      </c>
      <c r="L147" s="197"/>
      <c r="M147" s="198"/>
      <c r="N147" s="196"/>
      <c r="O147" s="198"/>
      <c r="P147" s="196"/>
    </row>
    <row r="148" spans="1:16" s="199" customFormat="1" ht="15" customHeight="1">
      <c r="A148" s="195"/>
      <c r="B148" s="195"/>
      <c r="C148" s="380">
        <v>615600</v>
      </c>
      <c r="D148" s="382" t="s">
        <v>562</v>
      </c>
      <c r="E148" s="382"/>
      <c r="F148" s="408">
        <f t="shared" si="17"/>
        <v>0</v>
      </c>
      <c r="G148" s="407"/>
      <c r="H148" s="408">
        <v>0</v>
      </c>
      <c r="I148" s="408">
        <v>0</v>
      </c>
      <c r="J148" s="410">
        <v>4500</v>
      </c>
      <c r="K148" s="196" t="s">
        <v>549</v>
      </c>
      <c r="L148" s="197"/>
      <c r="M148" s="198"/>
      <c r="N148" s="196"/>
      <c r="O148" s="198"/>
      <c r="P148" s="196"/>
    </row>
    <row r="149" spans="1:16" s="199" customFormat="1" ht="15" customHeight="1">
      <c r="A149" s="195"/>
      <c r="B149" s="195"/>
      <c r="C149" s="380">
        <v>615600</v>
      </c>
      <c r="D149" s="382" t="s">
        <v>563</v>
      </c>
      <c r="E149" s="382"/>
      <c r="F149" s="408">
        <f t="shared" si="17"/>
        <v>0</v>
      </c>
      <c r="G149" s="407"/>
      <c r="H149" s="408">
        <v>0</v>
      </c>
      <c r="I149" s="408">
        <v>0</v>
      </c>
      <c r="J149" s="410">
        <v>5000</v>
      </c>
      <c r="K149" s="196" t="s">
        <v>549</v>
      </c>
      <c r="L149" s="197"/>
      <c r="M149" s="198"/>
      <c r="N149" s="196"/>
      <c r="O149" s="198"/>
      <c r="P149" s="196"/>
    </row>
    <row r="150" spans="1:16" s="199" customFormat="1" ht="15" customHeight="1">
      <c r="A150" s="195"/>
      <c r="B150" s="195"/>
      <c r="C150" s="380">
        <v>615600</v>
      </c>
      <c r="D150" s="382" t="s">
        <v>564</v>
      </c>
      <c r="E150" s="382">
        <v>24000</v>
      </c>
      <c r="F150" s="408">
        <f t="shared" si="17"/>
        <v>11560.58</v>
      </c>
      <c r="G150" s="407"/>
      <c r="H150" s="408">
        <v>11560.58</v>
      </c>
      <c r="I150" s="408">
        <v>0</v>
      </c>
      <c r="J150" s="409">
        <v>11000</v>
      </c>
      <c r="K150" s="196" t="s">
        <v>549</v>
      </c>
      <c r="L150" s="197"/>
      <c r="M150" s="198"/>
      <c r="N150" s="196"/>
      <c r="O150" s="198"/>
      <c r="P150" s="196"/>
    </row>
    <row r="151" spans="1:16" s="199" customFormat="1" ht="15" customHeight="1">
      <c r="A151" s="195"/>
      <c r="B151" s="195"/>
      <c r="C151" s="380">
        <v>615600</v>
      </c>
      <c r="D151" s="382" t="s">
        <v>565</v>
      </c>
      <c r="E151" s="382">
        <v>16500</v>
      </c>
      <c r="F151" s="408">
        <f t="shared" si="17"/>
        <v>0</v>
      </c>
      <c r="G151" s="407"/>
      <c r="H151" s="408">
        <v>0</v>
      </c>
      <c r="I151" s="408">
        <v>0</v>
      </c>
      <c r="J151" s="409">
        <v>0</v>
      </c>
      <c r="K151" s="196" t="s">
        <v>549</v>
      </c>
      <c r="L151" s="197"/>
      <c r="M151" s="198"/>
      <c r="N151" s="196"/>
      <c r="O151" s="198"/>
      <c r="P151" s="196"/>
    </row>
    <row r="152" spans="1:16" s="199" customFormat="1" ht="15" customHeight="1">
      <c r="A152" s="195"/>
      <c r="B152" s="195"/>
      <c r="C152" s="380">
        <v>615600</v>
      </c>
      <c r="D152" s="382" t="s">
        <v>566</v>
      </c>
      <c r="E152" s="382">
        <v>16500</v>
      </c>
      <c r="F152" s="408">
        <f t="shared" si="17"/>
        <v>0</v>
      </c>
      <c r="G152" s="407"/>
      <c r="H152" s="408">
        <v>0</v>
      </c>
      <c r="I152" s="408">
        <v>0</v>
      </c>
      <c r="J152" s="409">
        <v>0</v>
      </c>
      <c r="K152" s="196" t="s">
        <v>549</v>
      </c>
      <c r="L152" s="197"/>
      <c r="M152" s="198"/>
      <c r="N152" s="196"/>
      <c r="O152" s="198"/>
      <c r="P152" s="196"/>
    </row>
    <row r="153" spans="1:16" s="199" customFormat="1" ht="15" customHeight="1">
      <c r="A153" s="195"/>
      <c r="B153" s="195"/>
      <c r="C153" s="380">
        <v>615600</v>
      </c>
      <c r="D153" s="382" t="s">
        <v>567</v>
      </c>
      <c r="E153" s="382"/>
      <c r="F153" s="408">
        <f t="shared" si="17"/>
        <v>0</v>
      </c>
      <c r="G153" s="407"/>
      <c r="H153" s="408">
        <v>0</v>
      </c>
      <c r="I153" s="408">
        <v>0</v>
      </c>
      <c r="J153" s="410">
        <v>5000</v>
      </c>
      <c r="K153" s="196" t="s">
        <v>549</v>
      </c>
      <c r="L153" s="197"/>
      <c r="M153" s="198"/>
      <c r="N153" s="196"/>
      <c r="O153" s="198"/>
      <c r="P153" s="196"/>
    </row>
    <row r="154" spans="1:16" s="199" customFormat="1" ht="15" customHeight="1">
      <c r="A154" s="195"/>
      <c r="B154" s="195"/>
      <c r="C154" s="380">
        <v>615600</v>
      </c>
      <c r="D154" s="382" t="s">
        <v>568</v>
      </c>
      <c r="E154" s="382"/>
      <c r="F154" s="408">
        <f t="shared" si="17"/>
        <v>0</v>
      </c>
      <c r="G154" s="407"/>
      <c r="H154" s="408">
        <v>0</v>
      </c>
      <c r="I154" s="408">
        <v>0</v>
      </c>
      <c r="J154" s="410">
        <v>5000</v>
      </c>
      <c r="K154" s="196" t="s">
        <v>549</v>
      </c>
      <c r="L154" s="197"/>
      <c r="M154" s="198"/>
      <c r="N154" s="196"/>
      <c r="O154" s="198"/>
      <c r="P154" s="196"/>
    </row>
    <row r="155" spans="1:16" s="199" customFormat="1" ht="15" customHeight="1">
      <c r="A155" s="195"/>
      <c r="B155" s="195"/>
      <c r="C155" s="380">
        <v>615600</v>
      </c>
      <c r="D155" s="382" t="s">
        <v>569</v>
      </c>
      <c r="E155" s="382">
        <v>2000</v>
      </c>
      <c r="F155" s="408">
        <f t="shared" si="17"/>
        <v>0</v>
      </c>
      <c r="G155" s="407"/>
      <c r="H155" s="408">
        <v>0</v>
      </c>
      <c r="I155" s="408">
        <v>0</v>
      </c>
      <c r="J155" s="409">
        <v>2000</v>
      </c>
      <c r="K155" s="196"/>
      <c r="L155" s="197"/>
      <c r="M155" s="198"/>
      <c r="N155" s="196"/>
      <c r="O155" s="198"/>
      <c r="P155" s="196"/>
    </row>
    <row r="156" spans="1:16" s="199" customFormat="1" ht="15" customHeight="1">
      <c r="A156" s="195"/>
      <c r="B156" s="195"/>
      <c r="C156" s="380">
        <v>615600</v>
      </c>
      <c r="D156" s="382" t="s">
        <v>570</v>
      </c>
      <c r="E156" s="382"/>
      <c r="F156" s="408">
        <f t="shared" si="17"/>
        <v>0</v>
      </c>
      <c r="G156" s="407"/>
      <c r="H156" s="408">
        <v>0</v>
      </c>
      <c r="I156" s="408">
        <v>0</v>
      </c>
      <c r="J156" s="408"/>
      <c r="K156" s="196"/>
      <c r="L156" s="197"/>
      <c r="M156" s="198"/>
      <c r="N156" s="196"/>
      <c r="O156" s="198"/>
      <c r="P156" s="196"/>
    </row>
    <row r="157" spans="1:16" s="199" customFormat="1" ht="15" customHeight="1">
      <c r="A157" s="195"/>
      <c r="B157" s="195"/>
      <c r="C157" s="380">
        <v>615600</v>
      </c>
      <c r="D157" s="382" t="s">
        <v>571</v>
      </c>
      <c r="E157" s="382"/>
      <c r="F157" s="408">
        <f t="shared" si="17"/>
        <v>0</v>
      </c>
      <c r="G157" s="407"/>
      <c r="H157" s="408">
        <v>0</v>
      </c>
      <c r="I157" s="408">
        <v>0</v>
      </c>
      <c r="J157" s="409">
        <v>2500</v>
      </c>
      <c r="K157" s="196" t="s">
        <v>549</v>
      </c>
      <c r="L157" s="197"/>
      <c r="M157" s="198"/>
      <c r="N157" s="196"/>
      <c r="O157" s="198"/>
      <c r="P157" s="196"/>
    </row>
    <row r="158" spans="1:16" s="199" customFormat="1" ht="15" customHeight="1">
      <c r="A158" s="195"/>
      <c r="B158" s="195"/>
      <c r="C158" s="380">
        <v>615600</v>
      </c>
      <c r="D158" s="382" t="s">
        <v>572</v>
      </c>
      <c r="E158" s="382"/>
      <c r="F158" s="408">
        <f t="shared" si="17"/>
        <v>0</v>
      </c>
      <c r="G158" s="407"/>
      <c r="H158" s="408">
        <v>0</v>
      </c>
      <c r="I158" s="408">
        <v>0</v>
      </c>
      <c r="J158" s="409">
        <v>0</v>
      </c>
      <c r="K158" s="196" t="s">
        <v>549</v>
      </c>
      <c r="L158" s="197"/>
      <c r="M158" s="198"/>
      <c r="N158" s="196"/>
      <c r="O158" s="198"/>
      <c r="P158" s="196"/>
    </row>
    <row r="159" spans="1:16" s="199" customFormat="1" ht="15" customHeight="1">
      <c r="A159" s="195"/>
      <c r="B159" s="195"/>
      <c r="C159" s="380">
        <v>615600</v>
      </c>
      <c r="D159" s="382" t="s">
        <v>573</v>
      </c>
      <c r="E159" s="382">
        <v>2500</v>
      </c>
      <c r="F159" s="408">
        <f t="shared" si="17"/>
        <v>1432.6999999999998</v>
      </c>
      <c r="G159" s="407"/>
      <c r="H159" s="408">
        <v>1432.6999999999998</v>
      </c>
      <c r="I159" s="408">
        <v>0</v>
      </c>
      <c r="J159" s="409">
        <v>2000</v>
      </c>
      <c r="K159" s="196" t="s">
        <v>549</v>
      </c>
      <c r="L159" s="197"/>
      <c r="M159" s="198"/>
      <c r="N159" s="196"/>
      <c r="O159" s="198"/>
      <c r="P159" s="196"/>
    </row>
    <row r="160" spans="1:16" s="199" customFormat="1" ht="15" customHeight="1">
      <c r="A160" s="195"/>
      <c r="B160" s="195"/>
      <c r="C160" s="380">
        <v>615600</v>
      </c>
      <c r="D160" s="382" t="s">
        <v>574</v>
      </c>
      <c r="E160" s="382"/>
      <c r="F160" s="408">
        <f t="shared" si="17"/>
        <v>0</v>
      </c>
      <c r="G160" s="407"/>
      <c r="H160" s="408">
        <v>0</v>
      </c>
      <c r="I160" s="408">
        <v>0</v>
      </c>
      <c r="J160" s="410">
        <v>3000</v>
      </c>
      <c r="K160" s="196" t="s">
        <v>549</v>
      </c>
      <c r="L160" s="197"/>
      <c r="M160" s="198"/>
      <c r="N160" s="196"/>
      <c r="O160" s="198"/>
      <c r="P160" s="196"/>
    </row>
    <row r="161" spans="1:16" s="199" customFormat="1" ht="15" customHeight="1">
      <c r="A161" s="195"/>
      <c r="B161" s="195"/>
      <c r="C161" s="380">
        <v>615600</v>
      </c>
      <c r="D161" s="382" t="s">
        <v>575</v>
      </c>
      <c r="E161" s="408"/>
      <c r="F161" s="408">
        <f t="shared" si="17"/>
        <v>1930</v>
      </c>
      <c r="G161" s="407"/>
      <c r="H161" s="408">
        <v>1930</v>
      </c>
      <c r="I161" s="408"/>
      <c r="J161" s="408"/>
      <c r="K161" s="196"/>
      <c r="L161" s="197"/>
      <c r="M161" s="198"/>
      <c r="N161" s="196"/>
      <c r="O161" s="198"/>
      <c r="P161" s="196"/>
    </row>
    <row r="162" spans="1:16" s="199" customFormat="1" ht="15" customHeight="1">
      <c r="A162" s="195"/>
      <c r="B162" s="195"/>
      <c r="C162" s="200">
        <v>615600</v>
      </c>
      <c r="D162" s="201" t="s">
        <v>546</v>
      </c>
      <c r="E162" s="202">
        <f>SUM(E133:E161)</f>
        <v>61500</v>
      </c>
      <c r="F162" s="203">
        <f>SUM(F133:F161)</f>
        <v>14923.279999999999</v>
      </c>
      <c r="G162" s="204"/>
      <c r="H162" s="203">
        <v>14923.279999999999</v>
      </c>
      <c r="I162" s="202">
        <f>SUM(I133:I161)</f>
        <v>11823.27</v>
      </c>
      <c r="J162" s="202">
        <f>SUM(J133:J161)</f>
        <v>167500</v>
      </c>
      <c r="K162" s="196"/>
      <c r="L162" s="197"/>
      <c r="M162" s="198"/>
      <c r="N162" s="196"/>
      <c r="O162" s="198"/>
      <c r="P162" s="196"/>
    </row>
    <row r="163" spans="1:16" s="44" customFormat="1" ht="15">
      <c r="A163" s="363"/>
      <c r="B163" s="363"/>
      <c r="C163" s="372">
        <v>615611</v>
      </c>
      <c r="D163" s="373" t="s">
        <v>576</v>
      </c>
      <c r="E163" s="389"/>
      <c r="F163" s="389">
        <f t="shared" si="17"/>
        <v>0</v>
      </c>
      <c r="G163" s="396"/>
      <c r="H163" s="392">
        <v>0</v>
      </c>
      <c r="I163" s="389"/>
      <c r="J163" s="389"/>
      <c r="K163" s="48"/>
      <c r="L163" s="48"/>
      <c r="M163" s="53"/>
      <c r="N163" s="48"/>
      <c r="O163" s="53"/>
      <c r="P163" s="48"/>
    </row>
    <row r="164" spans="1:16" s="44" customFormat="1" ht="15">
      <c r="A164" s="363"/>
      <c r="B164" s="363"/>
      <c r="C164" s="374">
        <v>615611</v>
      </c>
      <c r="D164" s="369" t="s">
        <v>577</v>
      </c>
      <c r="E164" s="56">
        <v>5000</v>
      </c>
      <c r="F164" s="392">
        <f t="shared" si="17"/>
        <v>0</v>
      </c>
      <c r="G164" s="396"/>
      <c r="H164" s="392">
        <v>0</v>
      </c>
      <c r="I164" s="56"/>
      <c r="J164" s="56">
        <v>5000</v>
      </c>
      <c r="K164" s="48"/>
      <c r="L164" s="48"/>
      <c r="M164" s="53"/>
      <c r="N164" s="48"/>
      <c r="O164" s="53"/>
      <c r="P164" s="48"/>
    </row>
    <row r="165" spans="1:16" s="44" customFormat="1" ht="15">
      <c r="A165" s="363"/>
      <c r="B165" s="363"/>
      <c r="C165" s="374">
        <v>615611</v>
      </c>
      <c r="D165" s="369" t="s">
        <v>578</v>
      </c>
      <c r="E165" s="56">
        <v>0</v>
      </c>
      <c r="F165" s="392">
        <f t="shared" si="17"/>
        <v>0</v>
      </c>
      <c r="G165" s="396"/>
      <c r="H165" s="392">
        <v>0</v>
      </c>
      <c r="I165" s="56"/>
      <c r="J165" s="56">
        <v>0</v>
      </c>
      <c r="K165" s="48"/>
      <c r="L165" s="48"/>
      <c r="M165" s="53"/>
      <c r="N165" s="48"/>
      <c r="O165" s="53"/>
      <c r="P165" s="48"/>
    </row>
    <row r="166" spans="1:16" s="44" customFormat="1" ht="15">
      <c r="A166" s="363"/>
      <c r="B166" s="363"/>
      <c r="C166" s="374">
        <v>615611</v>
      </c>
      <c r="D166" s="369" t="s">
        <v>579</v>
      </c>
      <c r="E166" s="56"/>
      <c r="F166" s="392">
        <f t="shared" si="17"/>
        <v>0</v>
      </c>
      <c r="G166" s="396"/>
      <c r="H166" s="392">
        <v>0</v>
      </c>
      <c r="I166" s="56"/>
      <c r="J166" s="56"/>
      <c r="K166" s="48"/>
      <c r="L166" s="48"/>
      <c r="M166" s="53"/>
      <c r="N166" s="48"/>
      <c r="O166" s="53"/>
      <c r="P166" s="48"/>
    </row>
    <row r="167" spans="1:16" s="44" customFormat="1" ht="15">
      <c r="A167" s="363"/>
      <c r="B167" s="363"/>
      <c r="C167" s="374">
        <v>615611</v>
      </c>
      <c r="D167" s="369" t="s">
        <v>580</v>
      </c>
      <c r="E167" s="56">
        <v>1500</v>
      </c>
      <c r="F167" s="392">
        <f t="shared" si="17"/>
        <v>0</v>
      </c>
      <c r="G167" s="396"/>
      <c r="H167" s="392">
        <v>0</v>
      </c>
      <c r="I167" s="56"/>
      <c r="J167" s="56">
        <v>1500</v>
      </c>
      <c r="K167" s="48"/>
      <c r="L167" s="48"/>
      <c r="M167" s="53"/>
      <c r="N167" s="48"/>
      <c r="O167" s="53"/>
      <c r="P167" s="48"/>
    </row>
    <row r="168" spans="1:16" s="44" customFormat="1" ht="15">
      <c r="A168" s="363"/>
      <c r="B168" s="363"/>
      <c r="C168" s="374">
        <v>615611</v>
      </c>
      <c r="D168" s="369" t="s">
        <v>581</v>
      </c>
      <c r="E168" s="56">
        <v>1500</v>
      </c>
      <c r="F168" s="392">
        <f t="shared" si="17"/>
        <v>0</v>
      </c>
      <c r="G168" s="396"/>
      <c r="H168" s="392">
        <v>0</v>
      </c>
      <c r="I168" s="56"/>
      <c r="J168" s="56">
        <v>1500</v>
      </c>
      <c r="K168" s="48"/>
      <c r="L168" s="48"/>
      <c r="M168" s="53"/>
      <c r="N168" s="48"/>
      <c r="O168" s="53"/>
      <c r="P168" s="48"/>
    </row>
    <row r="169" spans="1:16" s="44" customFormat="1" ht="15">
      <c r="A169" s="363"/>
      <c r="B169" s="363"/>
      <c r="C169" s="374">
        <v>615611</v>
      </c>
      <c r="D169" s="369" t="s">
        <v>582</v>
      </c>
      <c r="E169" s="66">
        <v>12000</v>
      </c>
      <c r="F169" s="392">
        <f t="shared" si="17"/>
        <v>0</v>
      </c>
      <c r="G169" s="396"/>
      <c r="H169" s="392">
        <v>0</v>
      </c>
      <c r="I169" s="56"/>
      <c r="J169" s="180">
        <v>12000</v>
      </c>
      <c r="K169" s="48"/>
      <c r="L169" s="48"/>
      <c r="M169" s="53"/>
      <c r="N169" s="48"/>
      <c r="O169" s="53"/>
      <c r="P169" s="48"/>
    </row>
    <row r="170" spans="1:16" s="44" customFormat="1" ht="15">
      <c r="A170" s="363"/>
      <c r="B170" s="363"/>
      <c r="C170" s="50">
        <v>615611</v>
      </c>
      <c r="D170" s="55" t="s">
        <v>583</v>
      </c>
      <c r="E170" s="52">
        <f>SUM(E163:E169)</f>
        <v>20000</v>
      </c>
      <c r="F170" s="3">
        <f>SUM(F163:F169)</f>
        <v>0</v>
      </c>
      <c r="G170" s="47"/>
      <c r="H170" s="3">
        <v>0</v>
      </c>
      <c r="I170" s="52">
        <f>SUM(I163:I169)</f>
        <v>0</v>
      </c>
      <c r="J170" s="52">
        <f>SUM(J163:J169)</f>
        <v>20000</v>
      </c>
      <c r="K170" s="48"/>
      <c r="L170" s="48"/>
      <c r="M170" s="53"/>
      <c r="N170" s="48"/>
      <c r="O170" s="53"/>
      <c r="P170" s="48"/>
    </row>
    <row r="171" spans="1:16" s="44" customFormat="1" ht="15">
      <c r="A171" s="363"/>
      <c r="B171" s="363"/>
      <c r="C171" s="372">
        <v>615620</v>
      </c>
      <c r="D171" s="373" t="s">
        <v>153</v>
      </c>
      <c r="E171" s="61"/>
      <c r="F171" s="389">
        <f t="shared" ref="F171:F178" si="18">+H171</f>
        <v>0</v>
      </c>
      <c r="G171" s="396"/>
      <c r="H171" s="389">
        <v>0</v>
      </c>
      <c r="I171" s="61">
        <v>37205.620000000003</v>
      </c>
      <c r="J171" s="61"/>
      <c r="K171" s="48"/>
      <c r="L171" s="48"/>
      <c r="M171" s="53"/>
      <c r="N171" s="48"/>
      <c r="O171" s="53"/>
      <c r="P171" s="48"/>
    </row>
    <row r="172" spans="1:16" s="44" customFormat="1" ht="15">
      <c r="A172" s="363"/>
      <c r="B172" s="363"/>
      <c r="C172" s="374">
        <v>615620</v>
      </c>
      <c r="D172" s="369" t="s">
        <v>584</v>
      </c>
      <c r="E172" s="66">
        <v>8800</v>
      </c>
      <c r="F172" s="392">
        <f t="shared" si="18"/>
        <v>0</v>
      </c>
      <c r="G172" s="396"/>
      <c r="H172" s="392">
        <v>0</v>
      </c>
      <c r="I172" s="56"/>
      <c r="J172" s="411">
        <v>10000</v>
      </c>
      <c r="K172" s="48" t="s">
        <v>549</v>
      </c>
      <c r="L172" s="48"/>
      <c r="M172" s="53"/>
      <c r="N172" s="48"/>
      <c r="O172" s="53"/>
      <c r="P172" s="48"/>
    </row>
    <row r="173" spans="1:16" s="44" customFormat="1" ht="15">
      <c r="A173" s="363"/>
      <c r="B173" s="363"/>
      <c r="C173" s="374">
        <v>615620</v>
      </c>
      <c r="D173" s="369" t="s">
        <v>585</v>
      </c>
      <c r="E173" s="66"/>
      <c r="F173" s="392">
        <f t="shared" si="18"/>
        <v>0</v>
      </c>
      <c r="G173" s="396"/>
      <c r="H173" s="392">
        <v>0</v>
      </c>
      <c r="I173" s="56"/>
      <c r="J173" s="411">
        <v>7500</v>
      </c>
      <c r="K173" s="48" t="s">
        <v>549</v>
      </c>
      <c r="L173" s="48"/>
      <c r="M173" s="53"/>
      <c r="N173" s="48"/>
      <c r="O173" s="53"/>
      <c r="P173" s="48"/>
    </row>
    <row r="174" spans="1:16" s="44" customFormat="1" ht="15">
      <c r="A174" s="363"/>
      <c r="B174" s="363"/>
      <c r="C174" s="374">
        <v>615620</v>
      </c>
      <c r="D174" s="369" t="s">
        <v>586</v>
      </c>
      <c r="E174" s="66"/>
      <c r="F174" s="392">
        <f t="shared" si="18"/>
        <v>0</v>
      </c>
      <c r="G174" s="396"/>
      <c r="H174" s="392">
        <v>0</v>
      </c>
      <c r="I174" s="56"/>
      <c r="J174" s="411">
        <v>5000</v>
      </c>
      <c r="K174" s="48" t="s">
        <v>549</v>
      </c>
      <c r="L174" s="48"/>
      <c r="M174" s="53"/>
      <c r="N174" s="48"/>
      <c r="O174" s="53"/>
      <c r="P174" s="48"/>
    </row>
    <row r="175" spans="1:16" s="44" customFormat="1" ht="15">
      <c r="A175" s="363"/>
      <c r="B175" s="363"/>
      <c r="C175" s="374">
        <v>615620</v>
      </c>
      <c r="D175" s="369" t="s">
        <v>587</v>
      </c>
      <c r="E175" s="66"/>
      <c r="F175" s="392">
        <f t="shared" si="18"/>
        <v>0</v>
      </c>
      <c r="G175" s="396"/>
      <c r="H175" s="392">
        <v>0</v>
      </c>
      <c r="I175" s="56"/>
      <c r="J175" s="411">
        <v>2000</v>
      </c>
      <c r="K175" s="48" t="s">
        <v>549</v>
      </c>
      <c r="L175" s="48"/>
      <c r="M175" s="53"/>
      <c r="N175" s="48"/>
      <c r="O175" s="53"/>
      <c r="P175" s="48"/>
    </row>
    <row r="176" spans="1:16" s="44" customFormat="1" ht="15">
      <c r="A176" s="363"/>
      <c r="B176" s="363"/>
      <c r="C176" s="374">
        <v>615620</v>
      </c>
      <c r="D176" s="369" t="s">
        <v>588</v>
      </c>
      <c r="E176" s="66">
        <v>4800</v>
      </c>
      <c r="F176" s="392">
        <f t="shared" si="18"/>
        <v>0</v>
      </c>
      <c r="G176" s="396"/>
      <c r="H176" s="392">
        <v>0</v>
      </c>
      <c r="I176" s="56"/>
      <c r="J176" s="181">
        <v>10000</v>
      </c>
      <c r="K176" s="48" t="s">
        <v>549</v>
      </c>
      <c r="L176" s="48"/>
      <c r="M176" s="53"/>
      <c r="N176" s="48"/>
      <c r="O176" s="53"/>
      <c r="P176" s="48"/>
    </row>
    <row r="177" spans="3:16" s="44" customFormat="1" ht="15">
      <c r="C177" s="374">
        <v>615620</v>
      </c>
      <c r="D177" s="369" t="s">
        <v>589</v>
      </c>
      <c r="E177" s="66"/>
      <c r="F177" s="392">
        <f t="shared" si="18"/>
        <v>0</v>
      </c>
      <c r="G177" s="396"/>
      <c r="H177" s="392"/>
      <c r="I177" s="56"/>
      <c r="J177" s="182">
        <v>7500</v>
      </c>
      <c r="K177" s="48" t="s">
        <v>549</v>
      </c>
      <c r="L177" s="48"/>
      <c r="M177" s="53"/>
      <c r="N177" s="48"/>
      <c r="O177" s="53"/>
      <c r="P177" s="48"/>
    </row>
    <row r="178" spans="3:16" s="44" customFormat="1" ht="15">
      <c r="C178" s="374">
        <v>615620</v>
      </c>
      <c r="D178" s="369" t="s">
        <v>590</v>
      </c>
      <c r="E178" s="66"/>
      <c r="F178" s="392">
        <f t="shared" si="18"/>
        <v>0</v>
      </c>
      <c r="G178" s="396"/>
      <c r="H178" s="392"/>
      <c r="I178" s="56"/>
      <c r="J178" s="182">
        <v>5000</v>
      </c>
      <c r="K178" s="48" t="s">
        <v>549</v>
      </c>
      <c r="L178" s="48"/>
      <c r="M178" s="53"/>
      <c r="N178" s="48"/>
      <c r="O178" s="53"/>
      <c r="P178" s="48"/>
    </row>
    <row r="179" spans="3:16" s="44" customFormat="1" ht="15">
      <c r="C179" s="374">
        <v>615620</v>
      </c>
      <c r="D179" s="369" t="s">
        <v>591</v>
      </c>
      <c r="E179" s="66">
        <v>1600</v>
      </c>
      <c r="F179" s="369" t="s">
        <v>592</v>
      </c>
      <c r="G179" s="396"/>
      <c r="H179" s="392">
        <v>0</v>
      </c>
      <c r="I179" s="56"/>
      <c r="J179" s="180">
        <v>1600</v>
      </c>
      <c r="K179" s="48"/>
      <c r="L179" s="48"/>
      <c r="M179" s="53"/>
      <c r="N179" s="48"/>
      <c r="O179" s="53"/>
      <c r="P179" s="48"/>
    </row>
    <row r="180" spans="3:16" s="44" customFormat="1" ht="15">
      <c r="C180" s="374">
        <v>615620</v>
      </c>
      <c r="D180" s="369" t="s">
        <v>593</v>
      </c>
      <c r="E180" s="56">
        <v>0</v>
      </c>
      <c r="F180" s="392">
        <f t="shared" ref="F180:F183" si="19">+H180</f>
        <v>0</v>
      </c>
      <c r="G180" s="396"/>
      <c r="H180" s="392">
        <v>0</v>
      </c>
      <c r="I180" s="56"/>
      <c r="J180" s="56">
        <v>0</v>
      </c>
      <c r="K180" s="48"/>
      <c r="L180" s="48"/>
      <c r="M180" s="53"/>
      <c r="N180" s="48"/>
      <c r="O180" s="53"/>
      <c r="P180" s="48"/>
    </row>
    <row r="181" spans="3:16" s="44" customFormat="1" ht="15">
      <c r="C181" s="374">
        <v>615620</v>
      </c>
      <c r="D181" s="369" t="s">
        <v>594</v>
      </c>
      <c r="E181" s="56">
        <v>0</v>
      </c>
      <c r="F181" s="392">
        <f t="shared" si="19"/>
        <v>0</v>
      </c>
      <c r="G181" s="396"/>
      <c r="H181" s="392">
        <v>0</v>
      </c>
      <c r="I181" s="56"/>
      <c r="J181" s="56">
        <v>0</v>
      </c>
      <c r="K181" s="48"/>
      <c r="L181" s="48"/>
      <c r="M181" s="53"/>
      <c r="N181" s="48"/>
      <c r="O181" s="53"/>
      <c r="P181" s="48"/>
    </row>
    <row r="182" spans="3:16" s="44" customFormat="1" ht="15">
      <c r="C182" s="374">
        <v>615620</v>
      </c>
      <c r="D182" s="369" t="s">
        <v>595</v>
      </c>
      <c r="E182" s="56"/>
      <c r="F182" s="392">
        <f t="shared" si="19"/>
        <v>0</v>
      </c>
      <c r="G182" s="396"/>
      <c r="H182" s="392">
        <v>0</v>
      </c>
      <c r="I182" s="56"/>
      <c r="J182" s="56"/>
      <c r="K182" s="48"/>
      <c r="L182" s="48"/>
      <c r="M182" s="53"/>
      <c r="N182" s="48"/>
      <c r="O182" s="53"/>
      <c r="P182" s="48"/>
    </row>
    <row r="183" spans="3:16" s="44" customFormat="1" ht="15">
      <c r="C183" s="374">
        <v>615620</v>
      </c>
      <c r="D183" s="369" t="s">
        <v>596</v>
      </c>
      <c r="E183" s="56"/>
      <c r="F183" s="392">
        <f t="shared" si="19"/>
        <v>0</v>
      </c>
      <c r="G183" s="396"/>
      <c r="H183" s="392">
        <v>0</v>
      </c>
      <c r="I183" s="56"/>
      <c r="J183" s="56"/>
      <c r="K183" s="48"/>
      <c r="L183" s="48"/>
      <c r="M183" s="53"/>
      <c r="N183" s="48"/>
      <c r="O183" s="53"/>
      <c r="P183" s="48"/>
    </row>
    <row r="184" spans="3:16" s="44" customFormat="1" ht="15">
      <c r="C184" s="374">
        <v>615620</v>
      </c>
      <c r="D184" s="369" t="s">
        <v>597</v>
      </c>
      <c r="E184" s="180">
        <v>600</v>
      </c>
      <c r="F184" s="412"/>
      <c r="G184" s="396"/>
      <c r="H184" s="392">
        <v>0</v>
      </c>
      <c r="I184" s="56"/>
      <c r="J184" s="180">
        <v>600</v>
      </c>
      <c r="K184" s="48"/>
      <c r="L184" s="48"/>
      <c r="M184" s="53"/>
      <c r="N184" s="48"/>
      <c r="O184" s="53"/>
      <c r="P184" s="48"/>
    </row>
    <row r="185" spans="3:16" s="44" customFormat="1" ht="15">
      <c r="C185" s="374">
        <v>615620</v>
      </c>
      <c r="D185" s="369" t="s">
        <v>598</v>
      </c>
      <c r="E185" s="56">
        <v>0</v>
      </c>
      <c r="F185" s="392">
        <f>+H185</f>
        <v>0</v>
      </c>
      <c r="G185" s="396"/>
      <c r="H185" s="392">
        <v>0</v>
      </c>
      <c r="I185" s="56"/>
      <c r="J185" s="56">
        <v>0</v>
      </c>
      <c r="K185" s="48"/>
      <c r="L185" s="48"/>
      <c r="M185" s="53"/>
      <c r="N185" s="48"/>
      <c r="O185" s="53"/>
      <c r="P185" s="48"/>
    </row>
    <row r="186" spans="3:16" s="44" customFormat="1" ht="15">
      <c r="C186" s="374">
        <v>615620</v>
      </c>
      <c r="D186" s="369" t="s">
        <v>599</v>
      </c>
      <c r="E186" s="56"/>
      <c r="F186" s="392">
        <f t="shared" ref="F186:F192" si="20">+H186</f>
        <v>0</v>
      </c>
      <c r="G186" s="396"/>
      <c r="H186" s="392">
        <v>0</v>
      </c>
      <c r="I186" s="56"/>
      <c r="J186" s="56"/>
      <c r="K186" s="48"/>
      <c r="L186" s="48"/>
      <c r="M186" s="53"/>
      <c r="N186" s="48"/>
      <c r="O186" s="53"/>
      <c r="P186" s="48"/>
    </row>
    <row r="187" spans="3:16" s="44" customFormat="1" ht="15">
      <c r="C187" s="374">
        <v>615620</v>
      </c>
      <c r="D187" s="369" t="s">
        <v>600</v>
      </c>
      <c r="E187" s="56"/>
      <c r="F187" s="392">
        <f t="shared" si="20"/>
        <v>0</v>
      </c>
      <c r="G187" s="396"/>
      <c r="H187" s="392">
        <v>0</v>
      </c>
      <c r="I187" s="56"/>
      <c r="J187" s="56"/>
      <c r="K187" s="48"/>
      <c r="L187" s="48"/>
      <c r="M187" s="53"/>
      <c r="N187" s="48"/>
      <c r="O187" s="53"/>
      <c r="P187" s="48"/>
    </row>
    <row r="188" spans="3:16" s="44" customFormat="1" ht="15">
      <c r="C188" s="374">
        <v>615620</v>
      </c>
      <c r="D188" s="369" t="s">
        <v>601</v>
      </c>
      <c r="E188" s="180">
        <v>600</v>
      </c>
      <c r="F188" s="392">
        <f t="shared" si="20"/>
        <v>0</v>
      </c>
      <c r="G188" s="396"/>
      <c r="H188" s="392">
        <v>0</v>
      </c>
      <c r="I188" s="56"/>
      <c r="J188" s="180">
        <v>600</v>
      </c>
      <c r="K188" s="48"/>
      <c r="L188" s="48"/>
      <c r="M188" s="53"/>
      <c r="N188" s="48"/>
      <c r="O188" s="53"/>
      <c r="P188" s="48"/>
    </row>
    <row r="189" spans="3:16" s="44" customFormat="1" ht="15">
      <c r="C189" s="374">
        <v>615620</v>
      </c>
      <c r="D189" s="369" t="s">
        <v>602</v>
      </c>
      <c r="E189" s="56"/>
      <c r="F189" s="392">
        <f t="shared" si="20"/>
        <v>0</v>
      </c>
      <c r="G189" s="396"/>
      <c r="H189" s="392">
        <v>0</v>
      </c>
      <c r="I189" s="56"/>
      <c r="J189" s="56"/>
      <c r="K189" s="48"/>
      <c r="L189" s="48"/>
      <c r="M189" s="53"/>
      <c r="N189" s="48"/>
      <c r="O189" s="53"/>
      <c r="P189" s="48"/>
    </row>
    <row r="190" spans="3:16" s="44" customFormat="1" ht="15">
      <c r="C190" s="50">
        <v>615620</v>
      </c>
      <c r="D190" s="55" t="s">
        <v>153</v>
      </c>
      <c r="E190" s="52">
        <f>SUM(E171:E189)</f>
        <v>16400</v>
      </c>
      <c r="F190" s="3">
        <f>SUM(F171:F189)</f>
        <v>0</v>
      </c>
      <c r="G190" s="47"/>
      <c r="H190" s="3">
        <v>0</v>
      </c>
      <c r="I190" s="52">
        <f>SUM(I171:I189)</f>
        <v>37205.620000000003</v>
      </c>
      <c r="J190" s="52">
        <f>SUM(J171:J189)</f>
        <v>49800</v>
      </c>
      <c r="K190" s="48"/>
      <c r="L190" s="48"/>
      <c r="M190" s="53"/>
      <c r="N190" s="48"/>
      <c r="O190" s="53"/>
      <c r="P190" s="48"/>
    </row>
    <row r="191" spans="3:16" s="44" customFormat="1" ht="15">
      <c r="C191" s="45">
        <v>615621</v>
      </c>
      <c r="D191" s="46" t="s">
        <v>603</v>
      </c>
      <c r="E191" s="54">
        <v>20000</v>
      </c>
      <c r="F191" s="4">
        <f t="shared" si="20"/>
        <v>0</v>
      </c>
      <c r="G191" s="47"/>
      <c r="H191" s="4">
        <v>0</v>
      </c>
      <c r="I191" s="54">
        <v>0</v>
      </c>
      <c r="J191" s="54">
        <v>20000</v>
      </c>
      <c r="K191" s="48"/>
      <c r="L191" s="48"/>
      <c r="M191" s="53"/>
      <c r="N191" s="48"/>
      <c r="O191" s="53"/>
      <c r="P191" s="48"/>
    </row>
    <row r="192" spans="3:16" s="44" customFormat="1" ht="15">
      <c r="C192" s="45">
        <v>615630</v>
      </c>
      <c r="D192" s="46" t="s">
        <v>604</v>
      </c>
      <c r="E192" s="54">
        <v>1000</v>
      </c>
      <c r="F192" s="4">
        <f t="shared" si="20"/>
        <v>1500</v>
      </c>
      <c r="G192" s="47"/>
      <c r="H192" s="4">
        <v>1500</v>
      </c>
      <c r="I192" s="181">
        <v>6000</v>
      </c>
      <c r="J192" s="181">
        <v>5000</v>
      </c>
      <c r="K192" s="48" t="s">
        <v>549</v>
      </c>
      <c r="L192" s="48"/>
      <c r="M192" s="53"/>
      <c r="N192" s="48"/>
      <c r="O192" s="53"/>
      <c r="P192" s="48"/>
    </row>
    <row r="193" spans="1:16" s="44" customFormat="1" ht="46.5">
      <c r="A193"/>
      <c r="B193"/>
      <c r="C193" s="176"/>
      <c r="D193" s="175"/>
      <c r="E193" s="175"/>
      <c r="F193" s="175"/>
      <c r="G193" s="175"/>
      <c r="H193" s="177"/>
      <c r="I193" s="175"/>
      <c r="J193" s="47"/>
      <c r="K193" s="174"/>
      <c r="L193" s="174"/>
      <c r="M193" s="53"/>
      <c r="N193" s="48"/>
      <c r="O193" s="53"/>
      <c r="P193" s="48"/>
    </row>
    <row r="194" spans="1:16" customFormat="1" ht="16.5" thickBot="1">
      <c r="C194" s="23"/>
      <c r="D194" s="24"/>
      <c r="E194" s="25" t="str">
        <f>E131</f>
        <v>BUDGET 2024</v>
      </c>
      <c r="F194" s="183" t="str">
        <f>F131</f>
        <v>Au 27/11/2024</v>
      </c>
      <c r="G194" s="184"/>
      <c r="H194" s="25" t="s">
        <v>50</v>
      </c>
      <c r="I194" s="25">
        <f>I131</f>
        <v>45930</v>
      </c>
      <c r="J194" s="173" t="str">
        <f>J131</f>
        <v>BUD 2025 base</v>
      </c>
      <c r="K194" s="19"/>
      <c r="L194" s="19"/>
      <c r="M194" s="179"/>
      <c r="N194" s="19"/>
      <c r="O194" s="179"/>
      <c r="P194" s="19"/>
    </row>
    <row r="195" spans="1:16" customFormat="1" ht="16.5" thickBot="1">
      <c r="B195" s="27" t="s">
        <v>605</v>
      </c>
      <c r="C195" s="28"/>
      <c r="D195" s="29"/>
      <c r="E195" s="37">
        <f>+E202+E207+E208+E211+E227+E228+E229+E230+E231+E232+E244+E247+E248+E250</f>
        <v>83050</v>
      </c>
      <c r="F195" s="35">
        <f>+F202+F207+F208+F211+F227+F228+F229+F230+F231+F232+F244+F247+F248+F250</f>
        <v>111368.20999999999</v>
      </c>
      <c r="G195" s="178">
        <f>+F195/E195</f>
        <v>1.3409778446718843</v>
      </c>
      <c r="H195" s="31"/>
      <c r="I195" s="35">
        <f>+I202+I207+I208+I227+I228+I229+I230+I231+I232+I244+I247+I248++I249+I250</f>
        <v>157168.70999999996</v>
      </c>
      <c r="J195" s="193">
        <f>+J202+J207+J208+J227+J228+J229+J230+J231+J232+J244+J247+J248+J250</f>
        <v>119400</v>
      </c>
      <c r="K195" s="167">
        <f>(+I195/J195)-1</f>
        <v>0.31632085427135648</v>
      </c>
      <c r="L195" s="19"/>
      <c r="M195" s="179"/>
      <c r="N195" s="19"/>
      <c r="O195" s="179"/>
      <c r="P195" s="19"/>
    </row>
    <row r="196" spans="1:16" s="44" customFormat="1" ht="15">
      <c r="A196" s="363"/>
      <c r="B196" s="363"/>
      <c r="C196" s="372">
        <v>615640</v>
      </c>
      <c r="D196" s="373" t="s">
        <v>606</v>
      </c>
      <c r="E196" s="61">
        <v>600</v>
      </c>
      <c r="F196" s="389">
        <f>+H196</f>
        <v>0</v>
      </c>
      <c r="G196" s="396"/>
      <c r="H196" s="389">
        <v>0</v>
      </c>
      <c r="I196" s="56"/>
      <c r="J196" s="61">
        <v>600</v>
      </c>
      <c r="K196" s="48"/>
      <c r="L196" s="48"/>
      <c r="M196" s="53"/>
      <c r="N196" s="48"/>
      <c r="O196" s="53"/>
      <c r="P196" s="48"/>
    </row>
    <row r="197" spans="1:16" s="44" customFormat="1" ht="15">
      <c r="A197" s="363"/>
      <c r="B197" s="363"/>
      <c r="C197" s="374">
        <v>615640</v>
      </c>
      <c r="D197" s="369" t="s">
        <v>607</v>
      </c>
      <c r="E197" s="56">
        <v>600</v>
      </c>
      <c r="F197" s="392">
        <f t="shared" ref="F197:F202" si="21">+H197</f>
        <v>0</v>
      </c>
      <c r="G197" s="396"/>
      <c r="H197" s="392">
        <v>0</v>
      </c>
      <c r="I197" s="56"/>
      <c r="J197" s="56">
        <v>600</v>
      </c>
      <c r="K197" s="48"/>
      <c r="L197" s="48"/>
      <c r="M197" s="53"/>
      <c r="N197" s="48"/>
      <c r="O197" s="53"/>
      <c r="P197" s="48"/>
    </row>
    <row r="198" spans="1:16" s="44" customFormat="1" ht="15">
      <c r="A198" s="363"/>
      <c r="B198" s="363"/>
      <c r="C198" s="374">
        <v>615640</v>
      </c>
      <c r="D198" s="369" t="s">
        <v>608</v>
      </c>
      <c r="E198" s="56"/>
      <c r="F198" s="392">
        <f t="shared" si="21"/>
        <v>0</v>
      </c>
      <c r="G198" s="396"/>
      <c r="H198" s="392">
        <v>0</v>
      </c>
      <c r="I198" s="56"/>
      <c r="J198" s="56"/>
      <c r="K198" s="48"/>
      <c r="L198" s="48"/>
      <c r="M198" s="53"/>
      <c r="N198" s="48"/>
      <c r="O198" s="53"/>
      <c r="P198" s="48"/>
    </row>
    <row r="199" spans="1:16" s="44" customFormat="1" ht="15">
      <c r="A199" s="363"/>
      <c r="B199" s="363"/>
      <c r="C199" s="374">
        <v>615640</v>
      </c>
      <c r="D199" s="369" t="s">
        <v>609</v>
      </c>
      <c r="E199" s="56">
        <v>500</v>
      </c>
      <c r="F199" s="392">
        <f t="shared" si="21"/>
        <v>0</v>
      </c>
      <c r="G199" s="396"/>
      <c r="H199" s="392">
        <v>0</v>
      </c>
      <c r="I199" s="56"/>
      <c r="J199" s="56">
        <v>500</v>
      </c>
      <c r="K199" s="48"/>
      <c r="L199" s="48"/>
      <c r="M199" s="53"/>
      <c r="N199" s="48"/>
      <c r="O199" s="53"/>
      <c r="P199" s="48"/>
    </row>
    <row r="200" spans="1:16" s="44" customFormat="1" ht="15">
      <c r="A200" s="363"/>
      <c r="B200" s="363"/>
      <c r="C200" s="374">
        <v>615640</v>
      </c>
      <c r="D200" s="369" t="s">
        <v>610</v>
      </c>
      <c r="E200" s="56">
        <v>500</v>
      </c>
      <c r="F200" s="392">
        <f t="shared" si="21"/>
        <v>0</v>
      </c>
      <c r="G200" s="396"/>
      <c r="H200" s="392">
        <v>0</v>
      </c>
      <c r="I200" s="56"/>
      <c r="J200" s="56">
        <v>500</v>
      </c>
      <c r="K200" s="48"/>
      <c r="L200" s="48"/>
      <c r="M200" s="53"/>
      <c r="N200" s="48"/>
      <c r="O200" s="53"/>
      <c r="P200" s="48"/>
    </row>
    <row r="201" spans="1:16" s="44" customFormat="1" ht="15">
      <c r="A201" s="363"/>
      <c r="B201" s="363"/>
      <c r="C201" s="374">
        <v>615640</v>
      </c>
      <c r="D201" s="369" t="s">
        <v>611</v>
      </c>
      <c r="E201" s="56">
        <v>500</v>
      </c>
      <c r="F201" s="392">
        <f t="shared" si="21"/>
        <v>0</v>
      </c>
      <c r="G201" s="396"/>
      <c r="H201" s="392">
        <v>0</v>
      </c>
      <c r="I201" s="56"/>
      <c r="J201" s="56">
        <v>500</v>
      </c>
      <c r="K201" s="48"/>
      <c r="L201" s="48"/>
      <c r="M201" s="53"/>
      <c r="N201" s="48"/>
      <c r="O201" s="53"/>
      <c r="P201" s="48"/>
    </row>
    <row r="202" spans="1:16" s="44" customFormat="1" ht="15">
      <c r="A202" s="363"/>
      <c r="B202" s="363"/>
      <c r="C202" s="50">
        <v>615640</v>
      </c>
      <c r="D202" s="55" t="s">
        <v>612</v>
      </c>
      <c r="E202" s="54">
        <f>SUM(E196:E201)</f>
        <v>2700</v>
      </c>
      <c r="F202" s="3">
        <f t="shared" si="21"/>
        <v>0</v>
      </c>
      <c r="G202" s="47"/>
      <c r="H202" s="3">
        <v>0</v>
      </c>
      <c r="I202" s="185">
        <v>6040.64</v>
      </c>
      <c r="J202" s="185">
        <f>SUM(J196:J201)</f>
        <v>2700</v>
      </c>
      <c r="K202" s="48"/>
      <c r="L202" s="48"/>
      <c r="M202" s="53"/>
      <c r="N202" s="48"/>
      <c r="O202" s="53"/>
      <c r="P202" s="48"/>
    </row>
    <row r="203" spans="1:16" s="44" customFormat="1" ht="15">
      <c r="A203" s="363"/>
      <c r="B203" s="363"/>
      <c r="C203" s="374">
        <v>615641</v>
      </c>
      <c r="D203" s="369" t="s">
        <v>613</v>
      </c>
      <c r="E203" s="185"/>
      <c r="F203" s="56">
        <f>+H203</f>
        <v>0</v>
      </c>
      <c r="G203" s="47"/>
      <c r="H203" s="392">
        <v>0</v>
      </c>
      <c r="I203" s="185"/>
      <c r="J203" s="185"/>
      <c r="K203" s="48"/>
      <c r="L203" s="48"/>
      <c r="M203" s="53"/>
      <c r="N203" s="48"/>
      <c r="O203" s="53"/>
      <c r="P203" s="48"/>
    </row>
    <row r="204" spans="1:16" s="44" customFormat="1" ht="15">
      <c r="A204" s="363"/>
      <c r="B204" s="363"/>
      <c r="C204" s="374">
        <v>615641</v>
      </c>
      <c r="D204" s="369" t="s">
        <v>614</v>
      </c>
      <c r="E204" s="185"/>
      <c r="F204" s="56">
        <f t="shared" ref="F204:F206" si="22">+H204</f>
        <v>552.4</v>
      </c>
      <c r="G204" s="47"/>
      <c r="H204" s="392">
        <v>552.4</v>
      </c>
      <c r="I204" s="185"/>
      <c r="J204" s="185"/>
      <c r="K204" s="48"/>
      <c r="L204" s="48"/>
      <c r="M204" s="53"/>
      <c r="N204" s="48"/>
      <c r="O204" s="53"/>
      <c r="P204" s="48"/>
    </row>
    <row r="205" spans="1:16" s="44" customFormat="1" ht="15">
      <c r="A205" s="363"/>
      <c r="B205" s="363"/>
      <c r="C205" s="374">
        <v>615641</v>
      </c>
      <c r="D205" s="369" t="s">
        <v>615</v>
      </c>
      <c r="E205" s="66">
        <v>6000</v>
      </c>
      <c r="F205" s="56">
        <f t="shared" si="22"/>
        <v>0</v>
      </c>
      <c r="G205" s="47"/>
      <c r="H205" s="392">
        <v>0</v>
      </c>
      <c r="I205" s="185"/>
      <c r="J205" s="180">
        <v>6000</v>
      </c>
      <c r="K205" s="48"/>
      <c r="L205" s="48"/>
      <c r="M205" s="53"/>
      <c r="N205" s="48"/>
      <c r="O205" s="53"/>
      <c r="P205" s="48"/>
    </row>
    <row r="206" spans="1:16" s="44" customFormat="1" ht="15">
      <c r="A206" s="363"/>
      <c r="B206" s="363"/>
      <c r="C206" s="374">
        <v>615641</v>
      </c>
      <c r="D206" s="369" t="s">
        <v>616</v>
      </c>
      <c r="E206" s="120"/>
      <c r="F206" s="56">
        <f t="shared" si="22"/>
        <v>2481.9300000000003</v>
      </c>
      <c r="G206" s="396"/>
      <c r="H206" s="392">
        <v>2481.9300000000003</v>
      </c>
      <c r="I206" s="120"/>
      <c r="J206" s="120"/>
      <c r="K206" s="48"/>
      <c r="L206" s="48"/>
      <c r="M206" s="53"/>
      <c r="N206" s="48"/>
      <c r="O206" s="53"/>
      <c r="P206" s="48"/>
    </row>
    <row r="207" spans="1:16" s="44" customFormat="1" ht="15">
      <c r="A207" s="363"/>
      <c r="B207" s="363"/>
      <c r="C207" s="50">
        <v>615641</v>
      </c>
      <c r="D207" s="55" t="s">
        <v>617</v>
      </c>
      <c r="E207" s="52">
        <f>SUM(E203:E206)</f>
        <v>6000</v>
      </c>
      <c r="F207" s="3">
        <f>SUM(F203:F206)</f>
        <v>3034.3300000000004</v>
      </c>
      <c r="G207" s="47"/>
      <c r="H207" s="3">
        <v>3034.33</v>
      </c>
      <c r="I207" s="52">
        <v>34930.080000000002</v>
      </c>
      <c r="J207" s="52">
        <f>SUM(J203:J206)</f>
        <v>6000</v>
      </c>
      <c r="K207" s="48"/>
      <c r="L207" s="48"/>
      <c r="M207" s="53"/>
      <c r="N207" s="48"/>
      <c r="O207" s="53"/>
      <c r="P207" s="48"/>
    </row>
    <row r="208" spans="1:16" s="44" customFormat="1" ht="15">
      <c r="A208" s="363"/>
      <c r="B208" s="363"/>
      <c r="C208" s="45">
        <v>615642</v>
      </c>
      <c r="D208" s="46" t="s">
        <v>618</v>
      </c>
      <c r="E208" s="54">
        <v>0</v>
      </c>
      <c r="F208" s="4">
        <f t="shared" ref="F208:F210" si="23">+H208</f>
        <v>9930.73</v>
      </c>
      <c r="G208" s="47"/>
      <c r="H208" s="4">
        <v>9930.73</v>
      </c>
      <c r="I208" s="54">
        <v>11703.45</v>
      </c>
      <c r="J208" s="54">
        <v>0</v>
      </c>
      <c r="K208" s="48"/>
      <c r="L208" s="48"/>
      <c r="M208" s="53"/>
      <c r="N208" s="48"/>
      <c r="O208" s="53"/>
      <c r="P208" s="48"/>
    </row>
    <row r="209" spans="3:16" s="44" customFormat="1" ht="15">
      <c r="C209" s="372">
        <v>615643</v>
      </c>
      <c r="D209" s="373" t="s">
        <v>619</v>
      </c>
      <c r="E209" s="413"/>
      <c r="F209" s="389">
        <f t="shared" si="23"/>
        <v>0</v>
      </c>
      <c r="G209" s="396"/>
      <c r="H209" s="389">
        <v>0</v>
      </c>
      <c r="I209" s="185"/>
      <c r="J209" s="185"/>
      <c r="K209" s="48"/>
      <c r="L209" s="48"/>
      <c r="M209" s="53"/>
      <c r="N209" s="48"/>
      <c r="O209" s="53"/>
      <c r="P209" s="48"/>
    </row>
    <row r="210" spans="3:16" s="44" customFormat="1" ht="15">
      <c r="C210" s="374">
        <v>615643</v>
      </c>
      <c r="D210" s="369" t="s">
        <v>620</v>
      </c>
      <c r="E210" s="414"/>
      <c r="F210" s="392">
        <f t="shared" si="23"/>
        <v>0</v>
      </c>
      <c r="G210" s="396"/>
      <c r="H210" s="392">
        <v>0</v>
      </c>
      <c r="I210" s="185"/>
      <c r="J210" s="185"/>
      <c r="K210" s="48"/>
      <c r="L210" s="48"/>
      <c r="M210" s="53"/>
      <c r="N210" s="48"/>
      <c r="O210" s="53"/>
      <c r="P210" s="48"/>
    </row>
    <row r="211" spans="3:16" s="44" customFormat="1" ht="15">
      <c r="C211" s="50">
        <v>615643</v>
      </c>
      <c r="D211" s="55" t="s">
        <v>621</v>
      </c>
      <c r="E211" s="52">
        <v>0</v>
      </c>
      <c r="F211" s="3">
        <f>SUM(F209:F210)</f>
        <v>0</v>
      </c>
      <c r="G211" s="47"/>
      <c r="H211" s="3">
        <v>0</v>
      </c>
      <c r="I211" s="52"/>
      <c r="J211" s="52"/>
      <c r="K211" s="48"/>
      <c r="L211" s="48"/>
      <c r="M211" s="53"/>
      <c r="N211" s="48"/>
      <c r="O211" s="53"/>
      <c r="P211" s="48"/>
    </row>
    <row r="212" spans="3:16" s="44" customFormat="1" ht="15">
      <c r="C212" s="372">
        <v>615644</v>
      </c>
      <c r="D212" s="373" t="s">
        <v>622</v>
      </c>
      <c r="E212" s="65">
        <v>2500</v>
      </c>
      <c r="F212" s="389">
        <f>+H212</f>
        <v>0</v>
      </c>
      <c r="G212" s="396"/>
      <c r="H212" s="389">
        <v>0</v>
      </c>
      <c r="I212" s="56"/>
      <c r="J212" s="186">
        <v>0</v>
      </c>
      <c r="K212" s="48"/>
      <c r="L212" s="48"/>
      <c r="M212" s="53"/>
      <c r="N212" s="48"/>
      <c r="O212" s="53"/>
      <c r="P212" s="48"/>
    </row>
    <row r="213" spans="3:16" s="44" customFormat="1" ht="15">
      <c r="C213" s="374">
        <v>615644</v>
      </c>
      <c r="D213" s="369" t="s">
        <v>623</v>
      </c>
      <c r="E213" s="66">
        <v>6500</v>
      </c>
      <c r="F213" s="392">
        <f t="shared" ref="F213:F232" si="24">+H213</f>
        <v>452.11</v>
      </c>
      <c r="G213" s="396"/>
      <c r="H213" s="392">
        <v>452.11</v>
      </c>
      <c r="I213" s="56"/>
      <c r="J213" s="180">
        <v>0</v>
      </c>
      <c r="K213" s="48"/>
      <c r="L213" s="48"/>
      <c r="M213" s="53"/>
      <c r="N213" s="48"/>
      <c r="O213" s="53"/>
      <c r="P213" s="48"/>
    </row>
    <row r="214" spans="3:16" s="44" customFormat="1" ht="15">
      <c r="C214" s="374">
        <v>615644</v>
      </c>
      <c r="D214" s="369" t="s">
        <v>624</v>
      </c>
      <c r="E214" s="66">
        <v>1500</v>
      </c>
      <c r="F214" s="392">
        <f t="shared" si="24"/>
        <v>0</v>
      </c>
      <c r="G214" s="396"/>
      <c r="H214" s="392">
        <v>0</v>
      </c>
      <c r="I214" s="56"/>
      <c r="J214" s="180">
        <v>0</v>
      </c>
      <c r="K214" s="48"/>
      <c r="L214" s="48"/>
      <c r="M214" s="53"/>
      <c r="N214" s="48"/>
      <c r="O214" s="53"/>
      <c r="P214" s="48"/>
    </row>
    <row r="215" spans="3:16" s="44" customFormat="1" ht="15">
      <c r="C215" s="374">
        <v>615644</v>
      </c>
      <c r="D215" s="369" t="s">
        <v>625</v>
      </c>
      <c r="E215" s="56">
        <v>0</v>
      </c>
      <c r="F215" s="392">
        <f t="shared" si="24"/>
        <v>0</v>
      </c>
      <c r="G215" s="396"/>
      <c r="H215" s="392">
        <v>0</v>
      </c>
      <c r="I215" s="56"/>
      <c r="J215" s="56">
        <v>0</v>
      </c>
      <c r="K215" s="48"/>
      <c r="L215" s="48"/>
      <c r="M215" s="53"/>
      <c r="N215" s="48"/>
      <c r="O215" s="53"/>
      <c r="P215" s="48"/>
    </row>
    <row r="216" spans="3:16" s="44" customFormat="1" ht="15">
      <c r="C216" s="374">
        <v>615645</v>
      </c>
      <c r="D216" s="369" t="s">
        <v>626</v>
      </c>
      <c r="E216" s="56"/>
      <c r="F216" s="392">
        <f t="shared" si="24"/>
        <v>0</v>
      </c>
      <c r="G216" s="396"/>
      <c r="H216" s="392">
        <v>0</v>
      </c>
      <c r="I216" s="56"/>
      <c r="J216" s="56"/>
      <c r="K216" s="48"/>
      <c r="L216" s="48"/>
      <c r="M216" s="53"/>
      <c r="N216" s="48"/>
      <c r="O216" s="53"/>
      <c r="P216" s="48"/>
    </row>
    <row r="217" spans="3:16" s="44" customFormat="1" ht="15">
      <c r="C217" s="374">
        <v>615644</v>
      </c>
      <c r="D217" s="369" t="s">
        <v>627</v>
      </c>
      <c r="E217" s="56"/>
      <c r="F217" s="392">
        <f t="shared" si="24"/>
        <v>0</v>
      </c>
      <c r="G217" s="396"/>
      <c r="H217" s="392">
        <v>0</v>
      </c>
      <c r="I217" s="56"/>
      <c r="J217" s="56"/>
      <c r="K217" s="48"/>
      <c r="L217" s="48"/>
      <c r="M217" s="53"/>
      <c r="N217" s="48"/>
      <c r="O217" s="53"/>
      <c r="P217" s="48"/>
    </row>
    <row r="218" spans="3:16" s="44" customFormat="1" ht="15">
      <c r="C218" s="374">
        <v>615644</v>
      </c>
      <c r="D218" s="369" t="s">
        <v>628</v>
      </c>
      <c r="E218" s="56"/>
      <c r="F218" s="392">
        <f t="shared" si="24"/>
        <v>0</v>
      </c>
      <c r="G218" s="396"/>
      <c r="H218" s="392">
        <v>0</v>
      </c>
      <c r="I218" s="56"/>
      <c r="J218" s="56"/>
      <c r="K218" s="48"/>
      <c r="L218" s="48"/>
      <c r="M218" s="53"/>
      <c r="N218" s="48"/>
      <c r="O218" s="53"/>
      <c r="P218" s="48"/>
    </row>
    <row r="219" spans="3:16" s="44" customFormat="1" ht="15">
      <c r="C219" s="374">
        <v>615644</v>
      </c>
      <c r="D219" s="369" t="s">
        <v>629</v>
      </c>
      <c r="E219" s="56"/>
      <c r="F219" s="392">
        <f t="shared" si="24"/>
        <v>0</v>
      </c>
      <c r="G219" s="396"/>
      <c r="H219" s="392">
        <v>0</v>
      </c>
      <c r="I219" s="56"/>
      <c r="J219" s="56"/>
      <c r="K219" s="48"/>
      <c r="L219" s="48"/>
      <c r="M219" s="53"/>
      <c r="N219" s="48"/>
      <c r="O219" s="53"/>
      <c r="P219" s="48"/>
    </row>
    <row r="220" spans="3:16" s="44" customFormat="1" ht="15">
      <c r="C220" s="374">
        <v>615644</v>
      </c>
      <c r="D220" s="369" t="s">
        <v>630</v>
      </c>
      <c r="E220" s="56"/>
      <c r="F220" s="392">
        <f t="shared" si="24"/>
        <v>0</v>
      </c>
      <c r="G220" s="396"/>
      <c r="H220" s="392">
        <v>0</v>
      </c>
      <c r="I220" s="56"/>
      <c r="J220" s="56"/>
      <c r="K220" s="48"/>
      <c r="L220" s="48"/>
      <c r="M220" s="53"/>
      <c r="N220" s="48"/>
      <c r="O220" s="53"/>
      <c r="P220" s="48"/>
    </row>
    <row r="221" spans="3:16" s="44" customFormat="1" ht="15">
      <c r="C221" s="374">
        <v>615644</v>
      </c>
      <c r="D221" s="369" t="s">
        <v>631</v>
      </c>
      <c r="E221" s="56"/>
      <c r="F221" s="392">
        <f t="shared" si="24"/>
        <v>0</v>
      </c>
      <c r="G221" s="396"/>
      <c r="H221" s="392">
        <v>0</v>
      </c>
      <c r="I221" s="56"/>
      <c r="J221" s="56"/>
      <c r="K221" s="48"/>
      <c r="L221" s="48"/>
      <c r="M221" s="53"/>
      <c r="N221" s="48"/>
      <c r="O221" s="53"/>
      <c r="P221" s="48"/>
    </row>
    <row r="222" spans="3:16" s="44" customFormat="1" ht="15">
      <c r="C222" s="374">
        <v>615644</v>
      </c>
      <c r="D222" s="369" t="s">
        <v>632</v>
      </c>
      <c r="E222" s="66">
        <v>500</v>
      </c>
      <c r="F222" s="392">
        <f t="shared" si="24"/>
        <v>0</v>
      </c>
      <c r="G222" s="396"/>
      <c r="H222" s="392">
        <v>0</v>
      </c>
      <c r="I222" s="56"/>
      <c r="J222" s="180">
        <v>500</v>
      </c>
      <c r="K222" s="48"/>
      <c r="L222" s="48"/>
      <c r="M222" s="53"/>
      <c r="N222" s="48"/>
      <c r="O222" s="53"/>
      <c r="P222" s="48"/>
    </row>
    <row r="223" spans="3:16" s="44" customFormat="1" ht="15">
      <c r="C223" s="374">
        <v>615144</v>
      </c>
      <c r="D223" s="369" t="s">
        <v>633</v>
      </c>
      <c r="E223" s="66">
        <v>1200</v>
      </c>
      <c r="F223" s="392">
        <f t="shared" si="24"/>
        <v>0</v>
      </c>
      <c r="G223" s="396"/>
      <c r="H223" s="392">
        <v>0</v>
      </c>
      <c r="I223" s="56"/>
      <c r="J223" s="180">
        <v>1200</v>
      </c>
      <c r="K223" s="48"/>
      <c r="L223" s="48"/>
      <c r="M223" s="53"/>
      <c r="N223" s="48"/>
      <c r="O223" s="53"/>
      <c r="P223" s="48"/>
    </row>
    <row r="224" spans="3:16" s="44" customFormat="1" ht="15">
      <c r="C224" s="374">
        <v>615644</v>
      </c>
      <c r="D224" s="369" t="s">
        <v>634</v>
      </c>
      <c r="E224" s="56">
        <v>1500</v>
      </c>
      <c r="F224" s="392">
        <f t="shared" si="24"/>
        <v>70</v>
      </c>
      <c r="G224" s="396"/>
      <c r="H224" s="392">
        <v>70</v>
      </c>
      <c r="I224" s="56"/>
      <c r="J224" s="56">
        <v>1500</v>
      </c>
      <c r="K224" s="48"/>
      <c r="L224" s="48"/>
      <c r="M224" s="53"/>
      <c r="N224" s="48"/>
      <c r="O224" s="53"/>
      <c r="P224" s="48"/>
    </row>
    <row r="225" spans="3:16" s="44" customFormat="1" ht="15">
      <c r="C225" s="374">
        <v>615644</v>
      </c>
      <c r="D225" s="369" t="s">
        <v>635</v>
      </c>
      <c r="E225" s="56">
        <v>2400</v>
      </c>
      <c r="F225" s="392">
        <f t="shared" si="24"/>
        <v>0</v>
      </c>
      <c r="G225" s="396"/>
      <c r="H225" s="392">
        <v>0</v>
      </c>
      <c r="I225" s="56"/>
      <c r="J225" s="56">
        <v>0</v>
      </c>
      <c r="K225" s="48"/>
      <c r="L225" s="48"/>
      <c r="M225" s="53"/>
      <c r="N225" s="48"/>
      <c r="O225" s="53"/>
      <c r="P225" s="48"/>
    </row>
    <row r="226" spans="3:16" s="44" customFormat="1" ht="15">
      <c r="C226" s="374">
        <v>615644</v>
      </c>
      <c r="D226" s="369" t="s">
        <v>636</v>
      </c>
      <c r="E226" s="120"/>
      <c r="F226" s="392">
        <f t="shared" si="24"/>
        <v>0</v>
      </c>
      <c r="G226" s="396"/>
      <c r="H226" s="392">
        <v>0</v>
      </c>
      <c r="I226" s="120"/>
      <c r="J226" s="120"/>
      <c r="K226" s="48"/>
      <c r="L226" s="48"/>
      <c r="M226" s="53"/>
      <c r="N226" s="48"/>
      <c r="O226" s="53"/>
      <c r="P226" s="48"/>
    </row>
    <row r="227" spans="3:16" s="44" customFormat="1" ht="15">
      <c r="C227" s="50">
        <v>615644</v>
      </c>
      <c r="D227" s="55" t="s">
        <v>637</v>
      </c>
      <c r="E227" s="52">
        <f>SUM(E212:E226)</f>
        <v>16100</v>
      </c>
      <c r="F227" s="3">
        <f>SUM(F212:F226)</f>
        <v>522.11</v>
      </c>
      <c r="G227" s="47"/>
      <c r="H227" s="3">
        <v>522.11</v>
      </c>
      <c r="I227" s="52">
        <f>SUM(I212:I226)</f>
        <v>0</v>
      </c>
      <c r="J227" s="52">
        <f>SUM(J212:J226)</f>
        <v>3200</v>
      </c>
      <c r="K227" s="48"/>
      <c r="L227" s="48"/>
      <c r="M227" s="53"/>
      <c r="N227" s="48"/>
      <c r="O227" s="53"/>
      <c r="P227" s="48"/>
    </row>
    <row r="228" spans="3:16" s="44" customFormat="1" ht="15">
      <c r="C228" s="50">
        <v>615645</v>
      </c>
      <c r="D228" s="55" t="s">
        <v>638</v>
      </c>
      <c r="E228" s="60">
        <v>5000</v>
      </c>
      <c r="F228" s="4">
        <f t="shared" si="24"/>
        <v>952.75</v>
      </c>
      <c r="G228" s="47"/>
      <c r="H228" s="4">
        <v>952.75</v>
      </c>
      <c r="I228" s="187">
        <v>0</v>
      </c>
      <c r="J228" s="187">
        <v>1250</v>
      </c>
      <c r="K228" s="48"/>
      <c r="L228" s="48"/>
      <c r="M228" s="53"/>
      <c r="N228" s="48"/>
      <c r="O228" s="53"/>
      <c r="P228" s="48"/>
    </row>
    <row r="229" spans="3:16" s="44" customFormat="1" ht="15">
      <c r="C229" s="45">
        <v>615646</v>
      </c>
      <c r="D229" s="46" t="s">
        <v>639</v>
      </c>
      <c r="E229" s="54">
        <v>1000</v>
      </c>
      <c r="F229" s="4">
        <f t="shared" si="24"/>
        <v>0</v>
      </c>
      <c r="G229" s="47"/>
      <c r="H229" s="4">
        <v>0</v>
      </c>
      <c r="I229" s="54">
        <v>0</v>
      </c>
      <c r="J229" s="54">
        <v>1000</v>
      </c>
      <c r="K229" s="48"/>
      <c r="L229" s="48"/>
      <c r="M229" s="53"/>
      <c r="N229" s="48"/>
      <c r="O229" s="53"/>
      <c r="P229" s="48"/>
    </row>
    <row r="230" spans="3:16" s="44" customFormat="1" ht="15">
      <c r="C230" s="45">
        <v>615647</v>
      </c>
      <c r="D230" s="46" t="s">
        <v>155</v>
      </c>
      <c r="E230" s="54">
        <v>30000</v>
      </c>
      <c r="F230" s="4">
        <f t="shared" si="24"/>
        <v>28500</v>
      </c>
      <c r="G230" s="47"/>
      <c r="H230" s="4">
        <v>28500</v>
      </c>
      <c r="I230" s="181">
        <v>22500</v>
      </c>
      <c r="J230" s="181">
        <v>22500</v>
      </c>
      <c r="K230" s="48"/>
      <c r="L230" s="48" t="s">
        <v>549</v>
      </c>
      <c r="M230" s="53"/>
      <c r="N230" s="48"/>
      <c r="O230" s="53"/>
      <c r="P230" s="48"/>
    </row>
    <row r="231" spans="3:16" s="44" customFormat="1" ht="15">
      <c r="C231" s="45">
        <v>615648</v>
      </c>
      <c r="D231" s="46" t="s">
        <v>172</v>
      </c>
      <c r="E231" s="54">
        <v>0</v>
      </c>
      <c r="F231" s="4">
        <f t="shared" si="24"/>
        <v>60000</v>
      </c>
      <c r="G231" s="47"/>
      <c r="H231" s="4">
        <v>60000</v>
      </c>
      <c r="I231" s="54">
        <v>60000</v>
      </c>
      <c r="J231" s="54">
        <v>60000</v>
      </c>
      <c r="K231" s="48"/>
      <c r="L231" s="48" t="s">
        <v>549</v>
      </c>
      <c r="M231" s="53"/>
      <c r="N231" s="48"/>
      <c r="O231" s="53"/>
      <c r="P231" s="48"/>
    </row>
    <row r="232" spans="3:16" s="44" customFormat="1" ht="15">
      <c r="C232" s="188">
        <v>615700</v>
      </c>
      <c r="D232" s="46" t="s">
        <v>640</v>
      </c>
      <c r="E232" s="4">
        <v>0</v>
      </c>
      <c r="F232" s="4">
        <f t="shared" si="24"/>
        <v>0</v>
      </c>
      <c r="G232" s="47"/>
      <c r="H232" s="4">
        <v>0</v>
      </c>
      <c r="I232" s="4">
        <v>0</v>
      </c>
      <c r="J232" s="4">
        <v>0</v>
      </c>
      <c r="K232" s="48"/>
      <c r="L232" s="48"/>
      <c r="M232" s="53"/>
      <c r="N232" s="48"/>
      <c r="O232" s="53"/>
      <c r="P232" s="48"/>
    </row>
    <row r="233" spans="3:16" s="44" customFormat="1" ht="15">
      <c r="C233" s="372">
        <v>615710</v>
      </c>
      <c r="D233" s="373" t="s">
        <v>641</v>
      </c>
      <c r="E233" s="66">
        <v>1000</v>
      </c>
      <c r="F233" s="389">
        <f>+H233</f>
        <v>143.75</v>
      </c>
      <c r="G233" s="396"/>
      <c r="H233" s="389">
        <v>143.75</v>
      </c>
      <c r="I233" s="66"/>
      <c r="J233" s="66">
        <v>1000</v>
      </c>
      <c r="K233" s="48"/>
      <c r="L233" s="48"/>
      <c r="M233" s="53"/>
      <c r="N233" s="48"/>
      <c r="O233" s="53"/>
      <c r="P233" s="48"/>
    </row>
    <row r="234" spans="3:16" s="44" customFormat="1" ht="15">
      <c r="C234" s="374">
        <v>615710</v>
      </c>
      <c r="D234" s="369" t="s">
        <v>642</v>
      </c>
      <c r="E234" s="66">
        <v>1000</v>
      </c>
      <c r="F234" s="392">
        <f t="shared" ref="F234:F250" si="25">+H234</f>
        <v>0</v>
      </c>
      <c r="G234" s="396"/>
      <c r="H234" s="392">
        <v>0</v>
      </c>
      <c r="I234" s="66"/>
      <c r="J234" s="66">
        <v>1000</v>
      </c>
      <c r="K234" s="48"/>
      <c r="L234" s="48"/>
      <c r="M234" s="53"/>
      <c r="N234" s="48"/>
      <c r="O234" s="53"/>
      <c r="P234" s="48"/>
    </row>
    <row r="235" spans="3:16" s="44" customFormat="1" ht="15">
      <c r="C235" s="374">
        <v>615710</v>
      </c>
      <c r="D235" s="369" t="s">
        <v>643</v>
      </c>
      <c r="E235" s="66">
        <v>750</v>
      </c>
      <c r="F235" s="392">
        <f t="shared" si="25"/>
        <v>0</v>
      </c>
      <c r="G235" s="396"/>
      <c r="H235" s="392">
        <v>0</v>
      </c>
      <c r="I235" s="66"/>
      <c r="J235" s="66">
        <v>750</v>
      </c>
      <c r="K235" s="48"/>
      <c r="L235" s="48"/>
      <c r="M235" s="53"/>
      <c r="N235" s="48"/>
      <c r="O235" s="53"/>
      <c r="P235" s="48"/>
    </row>
    <row r="236" spans="3:16" s="44" customFormat="1" ht="15">
      <c r="C236" s="374">
        <v>615710</v>
      </c>
      <c r="D236" s="369" t="s">
        <v>644</v>
      </c>
      <c r="E236" s="66">
        <v>1000</v>
      </c>
      <c r="F236" s="392">
        <f t="shared" si="25"/>
        <v>0</v>
      </c>
      <c r="G236" s="396"/>
      <c r="H236" s="392">
        <v>0</v>
      </c>
      <c r="I236" s="66"/>
      <c r="J236" s="66">
        <v>1000</v>
      </c>
      <c r="K236" s="48"/>
      <c r="L236" s="48"/>
      <c r="M236" s="53"/>
      <c r="N236" s="48"/>
      <c r="O236" s="53"/>
      <c r="P236" s="48"/>
    </row>
    <row r="237" spans="3:16" s="44" customFormat="1" ht="15">
      <c r="C237" s="374">
        <v>615710</v>
      </c>
      <c r="D237" s="369" t="s">
        <v>645</v>
      </c>
      <c r="E237" s="66">
        <v>0</v>
      </c>
      <c r="F237" s="392">
        <f t="shared" si="25"/>
        <v>0</v>
      </c>
      <c r="G237" s="396"/>
      <c r="H237" s="392">
        <v>0</v>
      </c>
      <c r="I237" s="66"/>
      <c r="J237" s="66">
        <v>0</v>
      </c>
      <c r="K237" s="48"/>
      <c r="L237" s="48"/>
      <c r="M237" s="53"/>
      <c r="N237" s="48"/>
      <c r="O237" s="53"/>
      <c r="P237" s="48"/>
    </row>
    <row r="238" spans="3:16" s="44" customFormat="1" ht="15">
      <c r="C238" s="374">
        <v>615710</v>
      </c>
      <c r="D238" s="369" t="s">
        <v>646</v>
      </c>
      <c r="E238" s="66">
        <v>0</v>
      </c>
      <c r="F238" s="392">
        <f t="shared" si="25"/>
        <v>0</v>
      </c>
      <c r="G238" s="396"/>
      <c r="H238" s="392">
        <v>0</v>
      </c>
      <c r="I238" s="66"/>
      <c r="J238" s="66">
        <v>0</v>
      </c>
      <c r="K238" s="48"/>
      <c r="L238" s="48"/>
      <c r="M238" s="53"/>
      <c r="N238" s="48"/>
      <c r="O238" s="53"/>
      <c r="P238" s="48"/>
    </row>
    <row r="239" spans="3:16" s="44" customFormat="1" ht="15">
      <c r="C239" s="374">
        <v>615710</v>
      </c>
      <c r="D239" s="369" t="s">
        <v>647</v>
      </c>
      <c r="E239" s="66">
        <v>1000</v>
      </c>
      <c r="F239" s="392">
        <f t="shared" si="25"/>
        <v>0</v>
      </c>
      <c r="G239" s="396"/>
      <c r="H239" s="392">
        <v>0</v>
      </c>
      <c r="I239" s="66"/>
      <c r="J239" s="66">
        <v>1000</v>
      </c>
      <c r="K239" s="48"/>
      <c r="L239" s="48"/>
      <c r="M239" s="53"/>
      <c r="N239" s="48"/>
      <c r="O239" s="53"/>
      <c r="P239" s="48"/>
    </row>
    <row r="240" spans="3:16" s="44" customFormat="1" ht="15">
      <c r="C240" s="374">
        <v>615710</v>
      </c>
      <c r="D240" s="369" t="s">
        <v>648</v>
      </c>
      <c r="E240" s="66">
        <v>2000</v>
      </c>
      <c r="F240" s="392">
        <f t="shared" si="25"/>
        <v>3090</v>
      </c>
      <c r="G240" s="396"/>
      <c r="H240" s="392">
        <v>3090</v>
      </c>
      <c r="I240" s="66"/>
      <c r="J240" s="66">
        <v>2000</v>
      </c>
      <c r="K240" s="48"/>
      <c r="L240" s="48"/>
      <c r="M240" s="53"/>
      <c r="N240" s="48"/>
      <c r="O240" s="53"/>
      <c r="P240" s="48"/>
    </row>
    <row r="241" spans="2:16" s="44" customFormat="1" ht="15">
      <c r="B241" s="363"/>
      <c r="C241" s="374">
        <v>615710</v>
      </c>
      <c r="D241" s="369" t="s">
        <v>649</v>
      </c>
      <c r="E241" s="66">
        <v>500</v>
      </c>
      <c r="F241" s="392">
        <f t="shared" si="25"/>
        <v>1437.1</v>
      </c>
      <c r="G241" s="396"/>
      <c r="H241" s="392">
        <v>1437.1</v>
      </c>
      <c r="I241" s="66"/>
      <c r="J241" s="66">
        <v>500</v>
      </c>
      <c r="K241" s="48"/>
      <c r="L241" s="48"/>
      <c r="M241" s="53"/>
      <c r="N241" s="48"/>
      <c r="O241" s="53"/>
      <c r="P241" s="48"/>
    </row>
    <row r="242" spans="2:16" s="44" customFormat="1" ht="15">
      <c r="B242" s="363"/>
      <c r="C242" s="374">
        <v>615710</v>
      </c>
      <c r="D242" s="369" t="s">
        <v>650</v>
      </c>
      <c r="E242" s="66"/>
      <c r="F242" s="392">
        <f t="shared" si="25"/>
        <v>0</v>
      </c>
      <c r="G242" s="396"/>
      <c r="H242" s="392">
        <v>0</v>
      </c>
      <c r="I242" s="66"/>
      <c r="J242" s="66"/>
      <c r="K242" s="48"/>
      <c r="L242" s="48"/>
      <c r="M242" s="53"/>
      <c r="N242" s="48"/>
      <c r="O242" s="53"/>
      <c r="P242" s="48"/>
    </row>
    <row r="243" spans="2:16" s="44" customFormat="1" ht="15">
      <c r="B243" s="363"/>
      <c r="C243" s="374">
        <v>615710</v>
      </c>
      <c r="D243" s="369" t="s">
        <v>651</v>
      </c>
      <c r="E243" s="66">
        <v>12000</v>
      </c>
      <c r="F243" s="392">
        <f t="shared" si="25"/>
        <v>3087.44</v>
      </c>
      <c r="G243" s="396"/>
      <c r="H243" s="392">
        <v>3087.44</v>
      </c>
      <c r="I243" s="66"/>
      <c r="J243" s="66">
        <v>12000</v>
      </c>
      <c r="K243" s="48"/>
      <c r="L243" s="48"/>
      <c r="M243" s="53"/>
      <c r="N243" s="48"/>
      <c r="O243" s="53"/>
      <c r="P243" s="48"/>
    </row>
    <row r="244" spans="2:16" s="44" customFormat="1" ht="15">
      <c r="B244" s="363"/>
      <c r="C244" s="50">
        <v>615710</v>
      </c>
      <c r="D244" s="55" t="s">
        <v>163</v>
      </c>
      <c r="E244" s="52">
        <f>SUM(E233:E243)</f>
        <v>19250</v>
      </c>
      <c r="F244" s="3">
        <f>SUM(F233:F243)</f>
        <v>7758.2900000000009</v>
      </c>
      <c r="G244" s="47"/>
      <c r="H244" s="3">
        <v>7758.2899999999991</v>
      </c>
      <c r="I244" s="52">
        <v>11899.27</v>
      </c>
      <c r="J244" s="52">
        <f>SUM(J233:J243)</f>
        <v>19250</v>
      </c>
      <c r="K244" s="48"/>
      <c r="L244" s="48"/>
      <c r="M244" s="53"/>
      <c r="N244" s="48"/>
      <c r="O244" s="53"/>
      <c r="P244" s="48"/>
    </row>
    <row r="245" spans="2:16" s="44" customFormat="1" ht="15">
      <c r="B245" s="363"/>
      <c r="C245" s="372">
        <v>615720</v>
      </c>
      <c r="D245" s="373" t="s">
        <v>652</v>
      </c>
      <c r="E245" s="389"/>
      <c r="F245" s="389">
        <f t="shared" si="25"/>
        <v>0</v>
      </c>
      <c r="G245" s="396"/>
      <c r="H245" s="389">
        <v>0</v>
      </c>
      <c r="I245" s="389">
        <v>2000</v>
      </c>
      <c r="J245" s="389">
        <v>2500</v>
      </c>
      <c r="K245" s="48"/>
      <c r="L245" s="48"/>
      <c r="M245" s="53"/>
      <c r="N245" s="48"/>
      <c r="O245" s="53"/>
      <c r="P245" s="48"/>
    </row>
    <row r="246" spans="2:16" s="44" customFormat="1" ht="15">
      <c r="B246" s="363"/>
      <c r="C246" s="374">
        <v>615720</v>
      </c>
      <c r="D246" s="369" t="s">
        <v>653</v>
      </c>
      <c r="E246" s="392"/>
      <c r="F246" s="392">
        <f t="shared" si="25"/>
        <v>0</v>
      </c>
      <c r="G246" s="396"/>
      <c r="H246" s="392">
        <v>0</v>
      </c>
      <c r="I246" s="392"/>
      <c r="J246" s="392"/>
      <c r="K246" s="48"/>
      <c r="L246" s="48"/>
      <c r="M246" s="53"/>
      <c r="N246" s="48"/>
      <c r="O246" s="53"/>
      <c r="P246" s="48"/>
    </row>
    <row r="247" spans="2:16" s="44" customFormat="1" ht="15">
      <c r="B247" s="363"/>
      <c r="C247" s="50">
        <v>615720</v>
      </c>
      <c r="D247" s="55" t="s">
        <v>164</v>
      </c>
      <c r="E247" s="52">
        <v>2000</v>
      </c>
      <c r="F247" s="3">
        <f>SUM(F245:F246)</f>
        <v>0</v>
      </c>
      <c r="G247" s="47"/>
      <c r="H247" s="3">
        <v>0</v>
      </c>
      <c r="I247" s="52">
        <f>SUM(I245:I246)</f>
        <v>2000</v>
      </c>
      <c r="J247" s="52">
        <f>SUM(J245:J246)</f>
        <v>2500</v>
      </c>
      <c r="K247" s="48"/>
      <c r="L247" s="48"/>
      <c r="M247" s="53"/>
      <c r="N247" s="48"/>
      <c r="O247" s="53"/>
      <c r="P247" s="48"/>
    </row>
    <row r="248" spans="2:16" s="44" customFormat="1" ht="15">
      <c r="B248" s="363"/>
      <c r="C248" s="45">
        <v>615730</v>
      </c>
      <c r="D248" s="46" t="s">
        <v>654</v>
      </c>
      <c r="E248" s="54">
        <v>1000</v>
      </c>
      <c r="F248" s="4">
        <f t="shared" si="25"/>
        <v>670</v>
      </c>
      <c r="G248" s="47"/>
      <c r="H248" s="4">
        <v>670</v>
      </c>
      <c r="I248" s="54">
        <v>332.5</v>
      </c>
      <c r="J248" s="54">
        <v>1000</v>
      </c>
      <c r="K248" s="48"/>
      <c r="L248" s="48"/>
      <c r="M248" s="53"/>
      <c r="N248" s="48"/>
      <c r="O248" s="53"/>
      <c r="P248" s="48"/>
    </row>
    <row r="249" spans="2:16" s="44" customFormat="1" ht="15">
      <c r="B249" s="363"/>
      <c r="C249" s="45">
        <v>615800</v>
      </c>
      <c r="D249" s="46" t="s">
        <v>166</v>
      </c>
      <c r="E249" s="54"/>
      <c r="F249" s="4"/>
      <c r="G249" s="47"/>
      <c r="H249" s="4"/>
      <c r="I249" s="54">
        <v>7762.77</v>
      </c>
      <c r="J249" s="54"/>
      <c r="K249" s="48"/>
      <c r="L249" s="48"/>
      <c r="M249" s="53"/>
      <c r="N249" s="48"/>
      <c r="O249" s="53"/>
      <c r="P249" s="48"/>
    </row>
    <row r="250" spans="2:16" s="44" customFormat="1" ht="15">
      <c r="B250" s="363"/>
      <c r="C250" s="45">
        <v>615900</v>
      </c>
      <c r="D250" s="46" t="s">
        <v>167</v>
      </c>
      <c r="E250" s="54">
        <v>0</v>
      </c>
      <c r="F250" s="4">
        <f t="shared" si="25"/>
        <v>0</v>
      </c>
      <c r="G250" s="47"/>
      <c r="H250" s="4">
        <v>0</v>
      </c>
      <c r="I250" s="54">
        <v>0</v>
      </c>
      <c r="J250" s="54">
        <v>0</v>
      </c>
      <c r="K250" s="48"/>
      <c r="L250" s="48"/>
      <c r="M250" s="53"/>
      <c r="N250" s="48"/>
      <c r="O250" s="53"/>
      <c r="P250" s="48"/>
    </row>
    <row r="251" spans="2:16" s="44" customFormat="1" ht="15">
      <c r="B251" s="363"/>
      <c r="C251" s="49"/>
      <c r="D251" s="47"/>
      <c r="E251" s="47"/>
      <c r="F251" s="47"/>
      <c r="G251" s="47"/>
      <c r="H251" s="47"/>
      <c r="I251" s="47"/>
      <c r="J251" s="47"/>
      <c r="K251" s="48"/>
      <c r="L251" s="48"/>
      <c r="M251" s="53"/>
      <c r="N251" s="48"/>
      <c r="O251" s="53"/>
      <c r="P251" s="48"/>
    </row>
    <row r="252" spans="2:16" customFormat="1" ht="16.5" thickBot="1">
      <c r="C252" s="23"/>
      <c r="D252" s="24"/>
      <c r="E252" s="25" t="str">
        <f>+E131</f>
        <v>BUDGET 2024</v>
      </c>
      <c r="F252" s="183" t="str">
        <f>+F131</f>
        <v>Au 27/11/2024</v>
      </c>
      <c r="G252" s="184"/>
      <c r="H252" s="25" t="s">
        <v>50</v>
      </c>
      <c r="I252" s="25">
        <f>+I131</f>
        <v>45930</v>
      </c>
      <c r="J252" s="173" t="str">
        <f>+J131</f>
        <v>BUD 2025 base</v>
      </c>
      <c r="K252" s="19"/>
      <c r="L252" s="19"/>
      <c r="M252" s="179"/>
      <c r="N252" s="19"/>
      <c r="O252" s="179"/>
      <c r="P252" s="19"/>
    </row>
    <row r="253" spans="2:16" customFormat="1" ht="16.5" thickBot="1">
      <c r="B253" s="27" t="s">
        <v>655</v>
      </c>
      <c r="C253" s="28"/>
      <c r="D253" s="29"/>
      <c r="E253" s="34">
        <f>+E254+E255+E256+E262+E281+E282+E283+E284+E285+E286+E287+E288+E289+E290+E294</f>
        <v>342180</v>
      </c>
      <c r="F253" s="189">
        <f>+F254+F255+F256+F262+F281+F282+F283+F284+F285+F286+F287+F288+F289+F290+F294</f>
        <v>345911.89</v>
      </c>
      <c r="G253" s="178">
        <f>+F253/E253</f>
        <v>1.0109062189490912</v>
      </c>
      <c r="H253" s="31"/>
      <c r="I253" s="34">
        <f>+I254+I255+I256+I262+I281+I282+I283+I284+I285+I286+I287+I288+I289+I290+I294</f>
        <v>280561.21999999997</v>
      </c>
      <c r="J253" s="194">
        <f>+J254+J255+J256+J262+J281+J282+J283+J284+J285+J286+J287+J288+J289+J290+J294</f>
        <v>364180</v>
      </c>
      <c r="K253" s="167">
        <f>(+I253/J253)-1</f>
        <v>-0.22960838047119569</v>
      </c>
      <c r="L253" s="19"/>
      <c r="M253" s="179"/>
      <c r="N253" s="19"/>
      <c r="O253" s="179"/>
      <c r="P253" s="19"/>
    </row>
    <row r="254" spans="2:16" s="44" customFormat="1" ht="15">
      <c r="B254" s="363"/>
      <c r="C254" s="45">
        <v>616100</v>
      </c>
      <c r="D254" s="46" t="s">
        <v>656</v>
      </c>
      <c r="E254" s="54">
        <v>0</v>
      </c>
      <c r="F254" s="4">
        <f t="shared" ref="F254:F261" si="26">+H254</f>
        <v>1204.79</v>
      </c>
      <c r="G254" s="47"/>
      <c r="H254" s="4">
        <v>1204.79</v>
      </c>
      <c r="I254" s="54">
        <v>0</v>
      </c>
      <c r="J254" s="54">
        <v>0</v>
      </c>
      <c r="K254" s="48"/>
      <c r="L254" s="48"/>
      <c r="M254" s="53"/>
      <c r="N254" s="48"/>
      <c r="O254" s="53"/>
      <c r="P254" s="48"/>
    </row>
    <row r="255" spans="2:16" s="44" customFormat="1" ht="15">
      <c r="B255" s="363"/>
      <c r="C255" s="45">
        <v>616110</v>
      </c>
      <c r="D255" s="46" t="s">
        <v>639</v>
      </c>
      <c r="E255" s="54">
        <v>0</v>
      </c>
      <c r="F255" s="4">
        <f t="shared" si="26"/>
        <v>0</v>
      </c>
      <c r="G255" s="47"/>
      <c r="H255" s="4">
        <v>0</v>
      </c>
      <c r="I255" s="54">
        <v>0</v>
      </c>
      <c r="J255" s="54">
        <v>0</v>
      </c>
      <c r="K255" s="48"/>
      <c r="L255" s="48"/>
      <c r="M255" s="53"/>
      <c r="N255" s="48"/>
      <c r="O255" s="53"/>
      <c r="P255" s="48"/>
    </row>
    <row r="256" spans="2:16" s="44" customFormat="1" ht="15">
      <c r="B256" s="363"/>
      <c r="C256" s="45">
        <v>616200</v>
      </c>
      <c r="D256" s="46" t="s">
        <v>657</v>
      </c>
      <c r="E256" s="54">
        <v>0</v>
      </c>
      <c r="F256" s="4">
        <f t="shared" si="26"/>
        <v>80</v>
      </c>
      <c r="G256" s="47"/>
      <c r="H256" s="4">
        <v>80</v>
      </c>
      <c r="I256" s="54">
        <v>280.02</v>
      </c>
      <c r="J256" s="54">
        <v>0</v>
      </c>
      <c r="K256" s="48"/>
      <c r="L256" s="48"/>
      <c r="M256" s="53"/>
      <c r="N256" s="48"/>
      <c r="O256" s="53"/>
      <c r="P256" s="48"/>
    </row>
    <row r="257" spans="3:16" s="44" customFormat="1" ht="15">
      <c r="C257" s="372">
        <v>616210</v>
      </c>
      <c r="D257" s="373" t="s">
        <v>128</v>
      </c>
      <c r="E257" s="389"/>
      <c r="F257" s="389">
        <f t="shared" si="26"/>
        <v>5526.56</v>
      </c>
      <c r="G257" s="396"/>
      <c r="H257" s="389">
        <v>5526.56</v>
      </c>
      <c r="I257" s="389"/>
      <c r="J257" s="389"/>
      <c r="K257" s="48"/>
      <c r="L257" s="48"/>
      <c r="M257" s="53"/>
      <c r="N257" s="48"/>
      <c r="O257" s="53"/>
      <c r="P257" s="48"/>
    </row>
    <row r="258" spans="3:16" s="44" customFormat="1" ht="15">
      <c r="C258" s="374">
        <v>616210</v>
      </c>
      <c r="D258" s="369" t="s">
        <v>658</v>
      </c>
      <c r="E258" s="392"/>
      <c r="F258" s="392">
        <f t="shared" si="26"/>
        <v>0</v>
      </c>
      <c r="G258" s="396"/>
      <c r="H258" s="392">
        <v>0</v>
      </c>
      <c r="I258" s="392"/>
      <c r="J258" s="392"/>
      <c r="K258" s="48"/>
      <c r="L258" s="48"/>
      <c r="M258" s="53"/>
      <c r="N258" s="48"/>
      <c r="O258" s="53"/>
      <c r="P258" s="48"/>
    </row>
    <row r="259" spans="3:16" s="44" customFormat="1" ht="15">
      <c r="C259" s="374">
        <v>616210</v>
      </c>
      <c r="D259" s="369" t="s">
        <v>659</v>
      </c>
      <c r="E259" s="392"/>
      <c r="F259" s="392">
        <f t="shared" si="26"/>
        <v>0</v>
      </c>
      <c r="G259" s="396"/>
      <c r="H259" s="392">
        <v>0</v>
      </c>
      <c r="I259" s="392"/>
      <c r="J259" s="392"/>
      <c r="K259" s="48"/>
      <c r="L259" s="48"/>
      <c r="M259" s="53"/>
      <c r="N259" s="48"/>
      <c r="O259" s="53"/>
      <c r="P259" s="48"/>
    </row>
    <row r="260" spans="3:16" s="44" customFormat="1" ht="15">
      <c r="C260" s="374">
        <v>616210</v>
      </c>
      <c r="D260" s="369" t="s">
        <v>129</v>
      </c>
      <c r="E260" s="392"/>
      <c r="F260" s="392">
        <f t="shared" si="26"/>
        <v>899.54999999999961</v>
      </c>
      <c r="G260" s="396"/>
      <c r="H260" s="392">
        <v>899.54999999999961</v>
      </c>
      <c r="I260" s="392"/>
      <c r="J260" s="392"/>
      <c r="K260" s="48"/>
      <c r="L260" s="48"/>
      <c r="M260" s="53"/>
      <c r="N260" s="48"/>
      <c r="O260" s="53"/>
      <c r="P260" s="48"/>
    </row>
    <row r="261" spans="3:16" s="44" customFormat="1" ht="15">
      <c r="C261" s="374">
        <v>616210</v>
      </c>
      <c r="D261" s="369" t="s">
        <v>130</v>
      </c>
      <c r="E261" s="392"/>
      <c r="F261" s="392">
        <f t="shared" si="26"/>
        <v>2965.2</v>
      </c>
      <c r="G261" s="396"/>
      <c r="H261" s="392">
        <v>2965.2</v>
      </c>
      <c r="I261" s="392"/>
      <c r="J261" s="392"/>
      <c r="K261" s="48"/>
      <c r="L261" s="48"/>
      <c r="M261" s="53"/>
      <c r="N261" s="48"/>
      <c r="O261" s="53"/>
      <c r="P261" s="48"/>
    </row>
    <row r="262" spans="3:16" s="44" customFormat="1" ht="15">
      <c r="C262" s="50">
        <v>616210</v>
      </c>
      <c r="D262" s="55" t="s">
        <v>131</v>
      </c>
      <c r="E262" s="52">
        <v>10000</v>
      </c>
      <c r="F262" s="3">
        <f>SUM(F257:F261)</f>
        <v>9391.31</v>
      </c>
      <c r="G262" s="396"/>
      <c r="H262" s="3">
        <v>9391.3100000000013</v>
      </c>
      <c r="I262" s="52">
        <v>8926.08</v>
      </c>
      <c r="J262" s="52">
        <v>10000</v>
      </c>
      <c r="K262" s="48"/>
      <c r="L262" s="48"/>
      <c r="M262" s="53"/>
      <c r="N262" s="48"/>
      <c r="O262" s="53"/>
      <c r="P262" s="48"/>
    </row>
    <row r="263" spans="3:16" s="44" customFormat="1" ht="15">
      <c r="C263" s="372">
        <v>616220</v>
      </c>
      <c r="D263" s="373" t="s">
        <v>660</v>
      </c>
      <c r="E263" s="61">
        <v>5000</v>
      </c>
      <c r="F263" s="389">
        <f>+H263</f>
        <v>5000</v>
      </c>
      <c r="G263" s="396"/>
      <c r="H263" s="389">
        <v>5000</v>
      </c>
      <c r="I263" s="56"/>
      <c r="J263" s="61">
        <v>7500</v>
      </c>
      <c r="K263" s="48"/>
      <c r="L263" s="48"/>
      <c r="M263" s="53"/>
      <c r="N263" s="48"/>
      <c r="O263" s="53"/>
      <c r="P263" s="48"/>
    </row>
    <row r="264" spans="3:16" s="44" customFormat="1" ht="15">
      <c r="C264" s="374">
        <v>616220</v>
      </c>
      <c r="D264" s="369" t="s">
        <v>661</v>
      </c>
      <c r="E264" s="56"/>
      <c r="F264" s="392">
        <f t="shared" ref="F264:F293" si="27">+H264</f>
        <v>2300</v>
      </c>
      <c r="G264" s="396"/>
      <c r="H264" s="392">
        <v>2300</v>
      </c>
      <c r="I264" s="56"/>
      <c r="J264" s="56">
        <v>2500</v>
      </c>
      <c r="K264" s="48"/>
      <c r="L264" s="48"/>
      <c r="M264" s="53"/>
      <c r="N264" s="48"/>
      <c r="O264" s="53"/>
      <c r="P264" s="48"/>
    </row>
    <row r="265" spans="3:16" s="44" customFormat="1" ht="15">
      <c r="C265" s="374">
        <v>616220</v>
      </c>
      <c r="D265" s="369" t="s">
        <v>662</v>
      </c>
      <c r="E265" s="56"/>
      <c r="F265" s="392">
        <f t="shared" si="27"/>
        <v>30000</v>
      </c>
      <c r="G265" s="396"/>
      <c r="H265" s="392">
        <v>30000</v>
      </c>
      <c r="I265" s="56"/>
      <c r="J265" s="181">
        <v>30000</v>
      </c>
      <c r="K265" s="48"/>
      <c r="L265" s="48" t="s">
        <v>549</v>
      </c>
      <c r="M265" s="53"/>
      <c r="N265" s="48"/>
      <c r="O265" s="53"/>
      <c r="P265" s="48"/>
    </row>
    <row r="266" spans="3:16" s="44" customFormat="1" ht="15">
      <c r="C266" s="374">
        <v>616220</v>
      </c>
      <c r="D266" s="369" t="s">
        <v>663</v>
      </c>
      <c r="E266" s="56"/>
      <c r="F266" s="392">
        <f t="shared" si="27"/>
        <v>1151.100000000001</v>
      </c>
      <c r="G266" s="396"/>
      <c r="H266" s="392">
        <v>1151.100000000001</v>
      </c>
      <c r="I266" s="56"/>
      <c r="J266" s="56"/>
      <c r="K266" s="48"/>
      <c r="L266" s="48"/>
      <c r="M266" s="53"/>
      <c r="N266" s="48"/>
      <c r="O266" s="53"/>
      <c r="P266" s="48"/>
    </row>
    <row r="267" spans="3:16" s="44" customFormat="1" ht="15">
      <c r="C267" s="374">
        <v>616220</v>
      </c>
      <c r="D267" s="369" t="s">
        <v>664</v>
      </c>
      <c r="E267" s="56">
        <v>10000</v>
      </c>
      <c r="F267" s="392">
        <f t="shared" si="27"/>
        <v>11000</v>
      </c>
      <c r="G267" s="396"/>
      <c r="H267" s="392">
        <v>11000</v>
      </c>
      <c r="I267" s="56"/>
      <c r="J267" s="56">
        <v>10000</v>
      </c>
      <c r="K267" s="48"/>
      <c r="L267" s="48"/>
      <c r="M267" s="53"/>
      <c r="N267" s="48"/>
      <c r="O267" s="53"/>
      <c r="P267" s="48"/>
    </row>
    <row r="268" spans="3:16" s="44" customFormat="1" ht="15">
      <c r="C268" s="374">
        <v>616220</v>
      </c>
      <c r="D268" s="369" t="s">
        <v>665</v>
      </c>
      <c r="E268" s="56">
        <v>2000</v>
      </c>
      <c r="F268" s="392">
        <f t="shared" si="27"/>
        <v>768.54</v>
      </c>
      <c r="G268" s="396"/>
      <c r="H268" s="392">
        <v>768.54</v>
      </c>
      <c r="I268" s="56"/>
      <c r="J268" s="56">
        <v>2000</v>
      </c>
      <c r="K268" s="48"/>
      <c r="L268" s="48"/>
      <c r="M268" s="53"/>
      <c r="N268" s="48"/>
      <c r="O268" s="53"/>
      <c r="P268" s="48"/>
    </row>
    <row r="269" spans="3:16" s="44" customFormat="1" ht="15">
      <c r="C269" s="374">
        <v>616220</v>
      </c>
      <c r="D269" s="369" t="s">
        <v>666</v>
      </c>
      <c r="E269" s="56"/>
      <c r="F269" s="392">
        <f t="shared" si="27"/>
        <v>0</v>
      </c>
      <c r="G269" s="396"/>
      <c r="H269" s="392">
        <v>0</v>
      </c>
      <c r="I269" s="56"/>
      <c r="J269" s="56"/>
      <c r="K269" s="48"/>
      <c r="L269" s="48"/>
      <c r="M269" s="53"/>
      <c r="N269" s="48"/>
      <c r="O269" s="53"/>
      <c r="P269" s="48"/>
    </row>
    <row r="270" spans="3:16" s="44" customFormat="1" ht="15">
      <c r="C270" s="374">
        <v>616220</v>
      </c>
      <c r="D270" s="369" t="s">
        <v>667</v>
      </c>
      <c r="E270" s="190">
        <v>12500</v>
      </c>
      <c r="F270" s="391">
        <f t="shared" si="27"/>
        <v>2607</v>
      </c>
      <c r="G270" s="365"/>
      <c r="H270" s="392">
        <v>2607</v>
      </c>
      <c r="I270" s="56"/>
      <c r="J270" s="190">
        <v>0</v>
      </c>
      <c r="K270" s="48"/>
      <c r="L270" s="48"/>
      <c r="M270" s="53"/>
      <c r="N270" s="48"/>
      <c r="O270" s="53"/>
      <c r="P270" s="48"/>
    </row>
    <row r="271" spans="3:16" s="44" customFormat="1" ht="15">
      <c r="C271" s="374">
        <v>616220</v>
      </c>
      <c r="D271" s="369" t="s">
        <v>668</v>
      </c>
      <c r="E271" s="56"/>
      <c r="F271" s="392">
        <f t="shared" si="27"/>
        <v>0</v>
      </c>
      <c r="G271" s="396"/>
      <c r="H271" s="392">
        <v>0</v>
      </c>
      <c r="I271" s="56"/>
      <c r="J271" s="56"/>
      <c r="K271" s="48"/>
      <c r="L271" s="48"/>
      <c r="M271" s="53"/>
      <c r="N271" s="48"/>
      <c r="O271" s="53"/>
      <c r="P271" s="48"/>
    </row>
    <row r="272" spans="3:16" s="44" customFormat="1" ht="15">
      <c r="C272" s="374">
        <v>616220</v>
      </c>
      <c r="D272" s="369" t="s">
        <v>669</v>
      </c>
      <c r="E272" s="56"/>
      <c r="F272" s="392">
        <f t="shared" si="27"/>
        <v>812</v>
      </c>
      <c r="G272" s="396"/>
      <c r="H272" s="392">
        <v>812</v>
      </c>
      <c r="I272" s="56"/>
      <c r="J272" s="56"/>
      <c r="K272" s="48"/>
      <c r="L272" s="48"/>
      <c r="M272" s="53"/>
      <c r="N272" s="48"/>
      <c r="O272" s="53"/>
      <c r="P272" s="48"/>
    </row>
    <row r="273" spans="3:16" s="44" customFormat="1" ht="15">
      <c r="C273" s="374">
        <v>616220</v>
      </c>
      <c r="D273" s="369" t="s">
        <v>670</v>
      </c>
      <c r="E273" s="56"/>
      <c r="F273" s="392">
        <f t="shared" si="27"/>
        <v>367.31</v>
      </c>
      <c r="G273" s="396"/>
      <c r="H273" s="392">
        <v>367.31</v>
      </c>
      <c r="I273" s="56"/>
      <c r="J273" s="56"/>
      <c r="K273" s="48"/>
      <c r="L273" s="48"/>
      <c r="M273" s="53"/>
      <c r="N273" s="48"/>
      <c r="O273" s="53"/>
      <c r="P273" s="48"/>
    </row>
    <row r="274" spans="3:16" s="44" customFormat="1" ht="15">
      <c r="C274" s="374">
        <v>616220</v>
      </c>
      <c r="D274" s="369" t="s">
        <v>671</v>
      </c>
      <c r="E274" s="56"/>
      <c r="F274" s="392">
        <f t="shared" si="27"/>
        <v>0</v>
      </c>
      <c r="G274" s="396"/>
      <c r="H274" s="392">
        <v>0</v>
      </c>
      <c r="I274" s="56"/>
      <c r="J274" s="56"/>
      <c r="K274" s="48"/>
      <c r="L274" s="48"/>
      <c r="M274" s="53"/>
      <c r="N274" s="48"/>
      <c r="O274" s="53"/>
      <c r="P274" s="48"/>
    </row>
    <row r="275" spans="3:16" s="44" customFormat="1" ht="15">
      <c r="C275" s="374">
        <v>616220</v>
      </c>
      <c r="D275" s="369" t="s">
        <v>672</v>
      </c>
      <c r="E275" s="56"/>
      <c r="F275" s="392">
        <f t="shared" si="27"/>
        <v>0</v>
      </c>
      <c r="G275" s="396"/>
      <c r="H275" s="392">
        <v>0</v>
      </c>
      <c r="I275" s="56"/>
      <c r="J275" s="56"/>
      <c r="K275" s="48"/>
      <c r="L275" s="48"/>
      <c r="M275" s="53"/>
      <c r="N275" s="48"/>
      <c r="O275" s="53"/>
      <c r="P275" s="48"/>
    </row>
    <row r="276" spans="3:16" s="44" customFormat="1" ht="15">
      <c r="C276" s="374">
        <v>616220</v>
      </c>
      <c r="D276" s="369" t="s">
        <v>673</v>
      </c>
      <c r="E276" s="56"/>
      <c r="F276" s="392">
        <f t="shared" si="27"/>
        <v>1526.76</v>
      </c>
      <c r="G276" s="396"/>
      <c r="H276" s="392">
        <v>1526.76</v>
      </c>
      <c r="I276" s="56"/>
      <c r="J276" s="56"/>
      <c r="K276" s="48"/>
      <c r="L276" s="48"/>
      <c r="M276" s="53"/>
      <c r="N276" s="48"/>
      <c r="O276" s="53"/>
      <c r="P276" s="48"/>
    </row>
    <row r="277" spans="3:16" s="44" customFormat="1" ht="15">
      <c r="C277" s="374">
        <v>616220</v>
      </c>
      <c r="D277" s="369" t="s">
        <v>674</v>
      </c>
      <c r="E277" s="56"/>
      <c r="F277" s="392">
        <f t="shared" si="27"/>
        <v>4520.74</v>
      </c>
      <c r="G277" s="396"/>
      <c r="H277" s="392">
        <v>4520.74</v>
      </c>
      <c r="I277" s="56"/>
      <c r="J277" s="56"/>
      <c r="K277" s="48"/>
      <c r="L277" s="48"/>
      <c r="M277" s="53"/>
      <c r="N277" s="48"/>
      <c r="O277" s="53"/>
      <c r="P277" s="48"/>
    </row>
    <row r="278" spans="3:16" s="44" customFormat="1" ht="15">
      <c r="C278" s="374">
        <v>616220</v>
      </c>
      <c r="D278" s="369" t="s">
        <v>675</v>
      </c>
      <c r="E278" s="56">
        <v>0</v>
      </c>
      <c r="F278" s="392">
        <f t="shared" si="27"/>
        <v>0</v>
      </c>
      <c r="G278" s="396"/>
      <c r="H278" s="392">
        <v>0</v>
      </c>
      <c r="I278" s="56"/>
      <c r="J278" s="56">
        <v>0</v>
      </c>
      <c r="K278" s="48"/>
      <c r="L278" s="48"/>
      <c r="M278" s="53"/>
      <c r="N278" s="48"/>
      <c r="O278" s="53"/>
      <c r="P278" s="48"/>
    </row>
    <row r="279" spans="3:16" s="44" customFormat="1" ht="15">
      <c r="C279" s="374">
        <v>616220</v>
      </c>
      <c r="D279" s="369" t="s">
        <v>676</v>
      </c>
      <c r="E279" s="56">
        <v>4000</v>
      </c>
      <c r="F279" s="392">
        <f t="shared" si="27"/>
        <v>0</v>
      </c>
      <c r="G279" s="396"/>
      <c r="H279" s="392">
        <v>0</v>
      </c>
      <c r="I279" s="56"/>
      <c r="J279" s="56">
        <v>4000</v>
      </c>
      <c r="K279" s="48"/>
      <c r="L279" s="48"/>
      <c r="M279" s="53"/>
      <c r="N279" s="48"/>
      <c r="O279" s="53"/>
      <c r="P279" s="48"/>
    </row>
    <row r="280" spans="3:16" s="44" customFormat="1" ht="15">
      <c r="C280" s="374">
        <v>616220</v>
      </c>
      <c r="D280" s="369" t="s">
        <v>677</v>
      </c>
      <c r="E280" s="56">
        <v>3000</v>
      </c>
      <c r="F280" s="392">
        <f t="shared" si="27"/>
        <v>0</v>
      </c>
      <c r="G280" s="396"/>
      <c r="H280" s="392">
        <v>0</v>
      </c>
      <c r="I280" s="56"/>
      <c r="J280" s="56">
        <v>3000</v>
      </c>
      <c r="K280" s="48"/>
      <c r="L280" s="48"/>
      <c r="M280" s="53"/>
      <c r="N280" s="48"/>
      <c r="O280" s="53"/>
      <c r="P280" s="48"/>
    </row>
    <row r="281" spans="3:16" s="44" customFormat="1" ht="15">
      <c r="C281" s="50">
        <v>616220</v>
      </c>
      <c r="D281" s="55" t="s">
        <v>678</v>
      </c>
      <c r="E281" s="52">
        <f>SUM(E263:E280)</f>
        <v>36500</v>
      </c>
      <c r="F281" s="3">
        <f>SUM(F263:F280)</f>
        <v>60053.45</v>
      </c>
      <c r="G281" s="47"/>
      <c r="H281" s="3">
        <v>60053.45</v>
      </c>
      <c r="I281" s="52">
        <v>31848.55</v>
      </c>
      <c r="J281" s="52">
        <f>SUM(J263:J280)</f>
        <v>59000</v>
      </c>
      <c r="K281" s="48"/>
      <c r="L281" s="48"/>
      <c r="M281" s="53"/>
      <c r="N281" s="48"/>
      <c r="O281" s="53"/>
      <c r="P281" s="48"/>
    </row>
    <row r="282" spans="3:16" s="44" customFormat="1" ht="15">
      <c r="C282" s="50">
        <v>616221</v>
      </c>
      <c r="D282" s="55" t="s">
        <v>135</v>
      </c>
      <c r="E282" s="52"/>
      <c r="F282" s="4">
        <f t="shared" si="27"/>
        <v>19485.84</v>
      </c>
      <c r="G282" s="47"/>
      <c r="H282" s="4">
        <v>19485.84</v>
      </c>
      <c r="I282" s="52"/>
      <c r="J282" s="52"/>
      <c r="K282" s="48"/>
      <c r="L282" s="48"/>
      <c r="M282" s="53"/>
      <c r="N282" s="48"/>
      <c r="O282" s="53"/>
      <c r="P282" s="48"/>
    </row>
    <row r="283" spans="3:16" s="44" customFormat="1" ht="15">
      <c r="C283" s="45">
        <v>616321</v>
      </c>
      <c r="D283" s="46" t="s">
        <v>679</v>
      </c>
      <c r="E283" s="54">
        <v>1500</v>
      </c>
      <c r="F283" s="4">
        <f t="shared" si="27"/>
        <v>0</v>
      </c>
      <c r="G283" s="47"/>
      <c r="H283" s="4">
        <v>0</v>
      </c>
      <c r="I283" s="54"/>
      <c r="J283" s="54">
        <v>1500</v>
      </c>
      <c r="K283" s="48"/>
      <c r="L283" s="48"/>
      <c r="M283" s="53"/>
      <c r="N283" s="48"/>
      <c r="O283" s="53"/>
      <c r="P283" s="48"/>
    </row>
    <row r="284" spans="3:16" s="44" customFormat="1" ht="15">
      <c r="C284" s="45">
        <v>616322</v>
      </c>
      <c r="D284" s="46" t="s">
        <v>680</v>
      </c>
      <c r="E284" s="54">
        <v>0</v>
      </c>
      <c r="F284" s="4">
        <f t="shared" si="27"/>
        <v>0</v>
      </c>
      <c r="G284" s="47"/>
      <c r="H284" s="4">
        <v>0</v>
      </c>
      <c r="I284" s="54">
        <v>0</v>
      </c>
      <c r="J284" s="54">
        <v>0</v>
      </c>
      <c r="K284" s="48"/>
      <c r="L284" s="48"/>
      <c r="M284" s="53"/>
      <c r="N284" s="48"/>
      <c r="O284" s="53"/>
      <c r="P284" s="48"/>
    </row>
    <row r="285" spans="3:16" s="44" customFormat="1" ht="15">
      <c r="C285" s="45">
        <v>616223</v>
      </c>
      <c r="D285" s="46" t="s">
        <v>681</v>
      </c>
      <c r="E285" s="54">
        <v>25000</v>
      </c>
      <c r="F285" s="4">
        <f t="shared" si="27"/>
        <v>52383.31</v>
      </c>
      <c r="G285" s="47"/>
      <c r="H285" s="4">
        <v>52383.31</v>
      </c>
      <c r="I285" s="54">
        <v>52212.3</v>
      </c>
      <c r="J285" s="54">
        <v>65000</v>
      </c>
      <c r="K285" s="48"/>
      <c r="L285" s="48"/>
      <c r="M285" s="53"/>
      <c r="N285" s="48"/>
      <c r="O285" s="53"/>
      <c r="P285" s="48"/>
    </row>
    <row r="286" spans="3:16" s="44" customFormat="1" ht="15">
      <c r="C286" s="45">
        <v>616224</v>
      </c>
      <c r="D286" s="46" t="s">
        <v>136</v>
      </c>
      <c r="E286" s="54">
        <v>40000</v>
      </c>
      <c r="F286" s="4">
        <f t="shared" si="27"/>
        <v>46009.440000000002</v>
      </c>
      <c r="G286" s="47"/>
      <c r="H286" s="4">
        <v>46009.440000000002</v>
      </c>
      <c r="I286" s="54">
        <v>46014.48</v>
      </c>
      <c r="J286" s="54">
        <v>40000</v>
      </c>
      <c r="K286" s="48"/>
      <c r="L286" s="48"/>
      <c r="M286" s="53"/>
      <c r="N286" s="48"/>
      <c r="O286" s="53"/>
      <c r="P286" s="48"/>
    </row>
    <row r="287" spans="3:16" s="44" customFormat="1" ht="15">
      <c r="C287" s="75">
        <v>616225</v>
      </c>
      <c r="D287" s="62" t="s">
        <v>682</v>
      </c>
      <c r="E287" s="54">
        <v>6000</v>
      </c>
      <c r="F287" s="4">
        <f t="shared" si="27"/>
        <v>9100</v>
      </c>
      <c r="G287" s="47"/>
      <c r="H287" s="4">
        <v>9100</v>
      </c>
      <c r="I287" s="54">
        <v>7700</v>
      </c>
      <c r="J287" s="54">
        <v>10500</v>
      </c>
      <c r="K287" s="48"/>
      <c r="L287" s="48"/>
      <c r="M287" s="53"/>
      <c r="N287" s="48"/>
      <c r="O287" s="53"/>
      <c r="P287" s="48"/>
    </row>
    <row r="288" spans="3:16" s="44" customFormat="1" ht="15">
      <c r="C288" s="75">
        <v>616226</v>
      </c>
      <c r="D288" s="62" t="s">
        <v>683</v>
      </c>
      <c r="E288" s="54">
        <v>60000</v>
      </c>
      <c r="F288" s="4">
        <f t="shared" si="27"/>
        <v>4325.75</v>
      </c>
      <c r="G288" s="47"/>
      <c r="H288" s="4">
        <v>4325.75</v>
      </c>
      <c r="I288" s="54">
        <v>865.36</v>
      </c>
      <c r="J288" s="54">
        <v>15000</v>
      </c>
      <c r="K288" s="48"/>
      <c r="L288" s="48"/>
      <c r="M288" s="53"/>
      <c r="N288" s="48"/>
      <c r="O288" s="53"/>
      <c r="P288" s="48"/>
    </row>
    <row r="289" spans="2:16" s="44" customFormat="1" ht="15">
      <c r="B289" s="363"/>
      <c r="C289" s="75">
        <v>616327</v>
      </c>
      <c r="D289" s="62" t="s">
        <v>684</v>
      </c>
      <c r="E289" s="54">
        <v>15000</v>
      </c>
      <c r="F289" s="4">
        <f t="shared" si="27"/>
        <v>12087.999999999998</v>
      </c>
      <c r="G289" s="47"/>
      <c r="H289" s="4">
        <v>12087.999999999998</v>
      </c>
      <c r="I289" s="54">
        <v>24704.43</v>
      </c>
      <c r="J289" s="54">
        <v>15000</v>
      </c>
      <c r="K289" s="48"/>
      <c r="L289" s="48"/>
      <c r="M289" s="53"/>
      <c r="N289" s="48"/>
      <c r="O289" s="53"/>
      <c r="P289" s="48"/>
    </row>
    <row r="290" spans="2:16" s="44" customFormat="1" ht="15">
      <c r="B290" s="363"/>
      <c r="C290" s="75">
        <v>616328</v>
      </c>
      <c r="D290" s="62" t="s">
        <v>685</v>
      </c>
      <c r="E290" s="54">
        <v>5000</v>
      </c>
      <c r="F290" s="4">
        <f t="shared" si="27"/>
        <v>0</v>
      </c>
      <c r="G290" s="47"/>
      <c r="H290" s="1"/>
      <c r="I290" s="54"/>
      <c r="J290" s="54">
        <v>5000</v>
      </c>
      <c r="K290" s="48"/>
      <c r="L290" s="48"/>
      <c r="M290" s="53"/>
      <c r="N290" s="48"/>
      <c r="O290" s="53"/>
      <c r="P290" s="48"/>
    </row>
    <row r="291" spans="2:16" s="44" customFormat="1" ht="15">
      <c r="B291" s="363"/>
      <c r="C291" s="372">
        <v>617000</v>
      </c>
      <c r="D291" s="373" t="s">
        <v>686</v>
      </c>
      <c r="E291" s="61">
        <v>12500</v>
      </c>
      <c r="F291" s="61">
        <f t="shared" si="27"/>
        <v>12000</v>
      </c>
      <c r="G291" s="57"/>
      <c r="H291" s="389">
        <v>12000</v>
      </c>
      <c r="I291" s="61"/>
      <c r="J291" s="61">
        <v>12500</v>
      </c>
      <c r="K291" s="48"/>
      <c r="L291" s="48"/>
      <c r="M291" s="53"/>
      <c r="N291" s="48"/>
      <c r="O291" s="53"/>
      <c r="P291" s="48"/>
    </row>
    <row r="292" spans="2:16" s="44" customFormat="1" ht="15">
      <c r="B292" s="363"/>
      <c r="C292" s="374">
        <v>617000</v>
      </c>
      <c r="D292" s="369" t="s">
        <v>687</v>
      </c>
      <c r="E292" s="56">
        <v>130680</v>
      </c>
      <c r="F292" s="56">
        <f t="shared" si="27"/>
        <v>119790</v>
      </c>
      <c r="G292" s="57"/>
      <c r="H292" s="392">
        <v>119790</v>
      </c>
      <c r="I292" s="56"/>
      <c r="J292" s="56">
        <v>130680</v>
      </c>
      <c r="K292" s="48"/>
      <c r="L292" s="48"/>
      <c r="M292" s="53"/>
      <c r="N292" s="48"/>
      <c r="O292" s="53"/>
      <c r="P292" s="48"/>
    </row>
    <row r="293" spans="2:16" s="44" customFormat="1" ht="15">
      <c r="B293" s="363"/>
      <c r="C293" s="374">
        <v>617000</v>
      </c>
      <c r="D293" s="369" t="s">
        <v>688</v>
      </c>
      <c r="E293" s="56">
        <v>0</v>
      </c>
      <c r="F293" s="392">
        <f t="shared" si="27"/>
        <v>0</v>
      </c>
      <c r="G293" s="396"/>
      <c r="H293" s="392">
        <v>0</v>
      </c>
      <c r="I293" s="56"/>
      <c r="J293" s="56">
        <v>0</v>
      </c>
      <c r="K293" s="48"/>
      <c r="L293" s="48"/>
      <c r="M293" s="53"/>
      <c r="N293" s="48"/>
      <c r="O293" s="53"/>
      <c r="P293" s="48"/>
    </row>
    <row r="294" spans="2:16" s="44" customFormat="1" ht="15">
      <c r="B294" s="363"/>
      <c r="C294" s="50">
        <v>617000</v>
      </c>
      <c r="D294" s="55" t="s">
        <v>138</v>
      </c>
      <c r="E294" s="52">
        <f>SUM(E291:E293)</f>
        <v>143180</v>
      </c>
      <c r="F294" s="3">
        <f>SUM(F291:F293)</f>
        <v>131790</v>
      </c>
      <c r="G294" s="47"/>
      <c r="H294" s="3">
        <v>131790</v>
      </c>
      <c r="I294" s="52">
        <v>108010</v>
      </c>
      <c r="J294" s="52">
        <f>SUM(J291:J293)</f>
        <v>143180</v>
      </c>
      <c r="K294" s="48"/>
      <c r="L294" s="48"/>
      <c r="M294" s="53"/>
      <c r="N294" s="48"/>
      <c r="O294" s="53"/>
      <c r="P294" s="48"/>
    </row>
    <row r="295" spans="2:16" s="44" customFormat="1" ht="15">
      <c r="B295" s="363"/>
      <c r="C295" s="49"/>
      <c r="D295" s="47"/>
      <c r="E295" s="53"/>
      <c r="F295" s="88"/>
      <c r="G295" s="104"/>
      <c r="H295" s="5"/>
      <c r="I295" s="5"/>
      <c r="J295" s="53"/>
      <c r="K295" s="172"/>
      <c r="L295" s="53"/>
      <c r="M295" s="53"/>
      <c r="N295" s="48"/>
      <c r="O295" s="53"/>
      <c r="P295" s="48"/>
    </row>
    <row r="296" spans="2:16">
      <c r="C296" s="205">
        <v>61</v>
      </c>
      <c r="D296" s="206" t="s">
        <v>689</v>
      </c>
      <c r="E296" s="207"/>
      <c r="F296" s="208"/>
      <c r="G296" s="206"/>
      <c r="H296" s="209"/>
      <c r="I296" s="209">
        <f>+I253+I195+I132+I119+I102+I88+I75+I38+I12</f>
        <v>755739.85</v>
      </c>
      <c r="J296" s="207"/>
      <c r="K296" s="210"/>
      <c r="L296" s="207"/>
      <c r="M296" s="207"/>
      <c r="N296" s="14"/>
      <c r="O296" s="207"/>
      <c r="P296" s="14"/>
    </row>
    <row r="297" spans="2:16" s="44" customFormat="1" ht="15">
      <c r="B297" s="363"/>
      <c r="C297" s="49"/>
      <c r="D297" s="47"/>
      <c r="E297" s="53"/>
      <c r="F297" s="88"/>
      <c r="G297" s="104"/>
      <c r="H297" s="5"/>
      <c r="I297" s="5"/>
      <c r="J297" s="53"/>
      <c r="K297" s="172"/>
      <c r="L297" s="53"/>
      <c r="M297" s="53"/>
      <c r="N297" s="48"/>
      <c r="O297" s="53"/>
      <c r="P297" s="48"/>
    </row>
    <row r="298" spans="2:16" s="44" customFormat="1" ht="15">
      <c r="B298" s="363"/>
      <c r="C298" s="49"/>
      <c r="D298" s="47"/>
      <c r="E298" s="53"/>
      <c r="F298" s="88"/>
      <c r="G298" s="104"/>
      <c r="H298" s="5"/>
      <c r="I298" s="5"/>
      <c r="J298" s="53"/>
      <c r="K298" s="53"/>
      <c r="L298" s="53"/>
      <c r="M298" s="53"/>
      <c r="N298" s="48"/>
      <c r="O298" s="53"/>
      <c r="P298" s="48"/>
    </row>
    <row r="299" spans="2:16" customFormat="1" ht="32.25" thickBot="1">
      <c r="C299" s="23"/>
      <c r="D299" s="24"/>
      <c r="E299" s="25" t="str">
        <f>+E$4</f>
        <v>BUDGET 2024</v>
      </c>
      <c r="F299" s="81" t="str">
        <f>F$4</f>
        <v>Au 27/11/2024</v>
      </c>
      <c r="G299" s="101"/>
      <c r="H299" s="25" t="s">
        <v>50</v>
      </c>
      <c r="I299" s="165">
        <v>45930</v>
      </c>
      <c r="J299" s="25" t="str">
        <f>+J$4</f>
        <v>BUD 2025 base</v>
      </c>
      <c r="K299" s="24"/>
      <c r="L299" s="24"/>
      <c r="M299" s="78" t="str">
        <f>+M$4</f>
        <v>BUD 2025 Adeps A</v>
      </c>
      <c r="N299" s="79"/>
      <c r="O299" s="78" t="str">
        <f>+O$4</f>
        <v>BUD 2025 Adeps B</v>
      </c>
      <c r="P299" s="19"/>
    </row>
    <row r="300" spans="2:16" customFormat="1" ht="16.5" thickBot="1">
      <c r="B300" s="27" t="s">
        <v>182</v>
      </c>
      <c r="C300" s="39"/>
      <c r="D300" s="40"/>
      <c r="E300" s="38">
        <f>SUM(E301:E308)</f>
        <v>40000</v>
      </c>
      <c r="F300" s="82">
        <f>+F308</f>
        <v>36666.666666666664</v>
      </c>
      <c r="G300" s="102">
        <f>+F300/E300</f>
        <v>0.91666666666666663</v>
      </c>
      <c r="H300" s="31"/>
      <c r="I300" s="38">
        <f>SUM(I301:I308)</f>
        <v>0</v>
      </c>
      <c r="J300" s="38">
        <f>SUM(J301:J308)</f>
        <v>40000</v>
      </c>
      <c r="K300" s="168">
        <v>-0.4713</v>
      </c>
      <c r="L300" s="33"/>
      <c r="M300" s="38">
        <f>SUM(M301:M308)</f>
        <v>40000</v>
      </c>
      <c r="N300" s="19"/>
      <c r="O300" s="38">
        <f>SUM(O301:O308)</f>
        <v>40000</v>
      </c>
      <c r="P300" s="19"/>
    </row>
    <row r="301" spans="2:16" s="44" customFormat="1" ht="15">
      <c r="B301" s="363"/>
      <c r="C301" s="372">
        <v>630100</v>
      </c>
      <c r="D301" s="373" t="s">
        <v>183</v>
      </c>
      <c r="E301" s="1"/>
      <c r="F301" s="89">
        <f>+H301</f>
        <v>36666.666666666664</v>
      </c>
      <c r="G301" s="103"/>
      <c r="H301" s="389">
        <v>36666.666666666664</v>
      </c>
      <c r="I301" s="389"/>
      <c r="J301" s="1"/>
      <c r="K301" s="47"/>
      <c r="L301" s="47"/>
      <c r="M301" s="1"/>
      <c r="N301" s="48"/>
      <c r="O301" s="1"/>
      <c r="P301" s="48"/>
    </row>
    <row r="302" spans="2:16" s="44" customFormat="1" ht="15">
      <c r="B302" s="363"/>
      <c r="C302" s="374">
        <v>630200</v>
      </c>
      <c r="D302" s="369" t="s">
        <v>184</v>
      </c>
      <c r="E302" s="2"/>
      <c r="F302" s="90">
        <f t="shared" ref="F302:F307" si="28">+H302</f>
        <v>0</v>
      </c>
      <c r="G302" s="103"/>
      <c r="H302" s="392">
        <v>0</v>
      </c>
      <c r="I302" s="392"/>
      <c r="J302" s="2"/>
      <c r="K302" s="47"/>
      <c r="L302" s="47"/>
      <c r="M302" s="2"/>
      <c r="N302" s="48"/>
      <c r="O302" s="2"/>
      <c r="P302" s="48"/>
    </row>
    <row r="303" spans="2:16" s="44" customFormat="1" ht="15">
      <c r="B303" s="363"/>
      <c r="C303" s="374">
        <v>630200</v>
      </c>
      <c r="D303" s="369" t="s">
        <v>185</v>
      </c>
      <c r="E303" s="2"/>
      <c r="F303" s="90">
        <f t="shared" si="28"/>
        <v>0</v>
      </c>
      <c r="G303" s="103"/>
      <c r="H303" s="392">
        <v>0</v>
      </c>
      <c r="I303" s="392"/>
      <c r="J303" s="2"/>
      <c r="K303" s="47"/>
      <c r="L303" s="47"/>
      <c r="M303" s="2"/>
      <c r="N303" s="48"/>
      <c r="O303" s="2"/>
      <c r="P303" s="48"/>
    </row>
    <row r="304" spans="2:16" s="44" customFormat="1" ht="15">
      <c r="B304" s="363"/>
      <c r="C304" s="374">
        <v>630200</v>
      </c>
      <c r="D304" s="369" t="s">
        <v>186</v>
      </c>
      <c r="E304" s="2"/>
      <c r="F304" s="90">
        <f t="shared" si="28"/>
        <v>0</v>
      </c>
      <c r="G304" s="103"/>
      <c r="H304" s="392">
        <v>0</v>
      </c>
      <c r="I304" s="392"/>
      <c r="J304" s="2"/>
      <c r="K304" s="47"/>
      <c r="L304" s="47"/>
      <c r="M304" s="2"/>
      <c r="N304" s="48"/>
      <c r="O304" s="2"/>
      <c r="P304" s="48"/>
    </row>
    <row r="305" spans="2:16" s="44" customFormat="1" ht="15">
      <c r="B305" s="363"/>
      <c r="C305" s="374">
        <v>630200</v>
      </c>
      <c r="D305" s="369" t="s">
        <v>187</v>
      </c>
      <c r="E305" s="2"/>
      <c r="F305" s="90">
        <f t="shared" si="28"/>
        <v>0</v>
      </c>
      <c r="G305" s="103"/>
      <c r="H305" s="392">
        <v>0</v>
      </c>
      <c r="I305" s="392"/>
      <c r="J305" s="2"/>
      <c r="K305" s="47"/>
      <c r="L305" s="47"/>
      <c r="M305" s="2"/>
      <c r="N305" s="48"/>
      <c r="O305" s="2"/>
      <c r="P305" s="48"/>
    </row>
    <row r="306" spans="2:16" s="44" customFormat="1" ht="15">
      <c r="B306" s="363"/>
      <c r="C306" s="374">
        <v>630200</v>
      </c>
      <c r="D306" s="369" t="s">
        <v>188</v>
      </c>
      <c r="E306" s="2"/>
      <c r="F306" s="90">
        <f t="shared" si="28"/>
        <v>0</v>
      </c>
      <c r="G306" s="103"/>
      <c r="H306" s="392">
        <v>0</v>
      </c>
      <c r="I306" s="392"/>
      <c r="J306" s="2"/>
      <c r="K306" s="47"/>
      <c r="L306" s="47"/>
      <c r="M306" s="2"/>
      <c r="N306" s="48"/>
      <c r="O306" s="2"/>
      <c r="P306" s="48"/>
    </row>
    <row r="307" spans="2:16" s="44" customFormat="1" ht="15">
      <c r="B307" s="363"/>
      <c r="C307" s="374">
        <v>630200</v>
      </c>
      <c r="D307" s="369" t="s">
        <v>189</v>
      </c>
      <c r="E307" s="2"/>
      <c r="F307" s="90">
        <f t="shared" si="28"/>
        <v>0</v>
      </c>
      <c r="G307" s="103"/>
      <c r="H307" s="392">
        <v>0</v>
      </c>
      <c r="I307" s="392"/>
      <c r="J307" s="2"/>
      <c r="K307" s="47"/>
      <c r="L307" s="47"/>
      <c r="M307" s="2"/>
      <c r="N307" s="48"/>
      <c r="O307" s="2"/>
      <c r="P307" s="48"/>
    </row>
    <row r="308" spans="2:16" s="44" customFormat="1" ht="15">
      <c r="B308" s="363"/>
      <c r="C308" s="50" t="s">
        <v>190</v>
      </c>
      <c r="D308" s="55" t="s">
        <v>191</v>
      </c>
      <c r="E308" s="52">
        <v>40000</v>
      </c>
      <c r="F308" s="84">
        <f>SUM(F301:F307)</f>
        <v>36666.666666666664</v>
      </c>
      <c r="G308" s="104"/>
      <c r="H308" s="3">
        <v>36666.666666666664</v>
      </c>
      <c r="I308" s="3"/>
      <c r="J308" s="52">
        <v>40000</v>
      </c>
      <c r="K308" s="53"/>
      <c r="L308" s="53"/>
      <c r="M308" s="52">
        <v>40000</v>
      </c>
      <c r="N308" s="48"/>
      <c r="O308" s="52">
        <v>40000</v>
      </c>
      <c r="P308" s="48"/>
    </row>
    <row r="309" spans="2:16" s="44" customFormat="1" ht="15">
      <c r="B309" s="363"/>
      <c r="C309" s="49"/>
      <c r="D309" s="47"/>
      <c r="E309" s="47"/>
      <c r="F309" s="85"/>
      <c r="G309" s="104"/>
      <c r="H309" s="47"/>
      <c r="I309" s="47"/>
      <c r="J309" s="47"/>
      <c r="K309" s="47"/>
      <c r="L309" s="47"/>
      <c r="M309" s="47"/>
      <c r="N309" s="48"/>
      <c r="O309" s="47"/>
      <c r="P309" s="48"/>
    </row>
    <row r="310" spans="2:16" customFormat="1" ht="32.25" thickBot="1">
      <c r="C310" s="23"/>
      <c r="D310" s="24"/>
      <c r="E310" s="25" t="str">
        <f>+E$4</f>
        <v>BUDGET 2024</v>
      </c>
      <c r="F310" s="81" t="str">
        <f>F$4</f>
        <v>Au 27/11/2024</v>
      </c>
      <c r="G310" s="101"/>
      <c r="H310" s="25" t="s">
        <v>50</v>
      </c>
      <c r="I310" s="165">
        <v>45930</v>
      </c>
      <c r="J310" s="25" t="str">
        <f>+J$4</f>
        <v>BUD 2025 base</v>
      </c>
      <c r="K310" s="24"/>
      <c r="L310" s="24"/>
      <c r="M310" s="78" t="str">
        <f>+M$4</f>
        <v>BUD 2025 Adeps A</v>
      </c>
      <c r="N310" s="79"/>
      <c r="O310" s="78" t="str">
        <f>+O$4</f>
        <v>BUD 2025 Adeps B</v>
      </c>
      <c r="P310" s="19"/>
    </row>
    <row r="311" spans="2:16" customFormat="1" ht="16.5" thickBot="1">
      <c r="B311" s="27" t="s">
        <v>192</v>
      </c>
      <c r="C311" s="28"/>
      <c r="D311" s="29"/>
      <c r="E311" s="41">
        <f>SUM(E317:E329)</f>
        <v>0</v>
      </c>
      <c r="F311" s="93">
        <f>SUM(F316:F329)</f>
        <v>230600</v>
      </c>
      <c r="G311" s="102">
        <v>0</v>
      </c>
      <c r="H311" s="31"/>
      <c r="I311" s="38">
        <f>SUM(I312:I319)</f>
        <v>0</v>
      </c>
      <c r="J311" s="41">
        <f>SUM(J312:J316)+J329</f>
        <v>0</v>
      </c>
      <c r="K311" s="33"/>
      <c r="L311" s="33"/>
      <c r="M311" s="41">
        <f>SUM(M312:M316)+M329</f>
        <v>0</v>
      </c>
      <c r="N311" s="19"/>
      <c r="O311" s="41">
        <f>SUM(O312:O316)+O329</f>
        <v>0</v>
      </c>
      <c r="P311" s="19"/>
    </row>
    <row r="312" spans="2:16" s="44" customFormat="1" ht="15">
      <c r="B312" s="363"/>
      <c r="C312" s="374">
        <v>637000</v>
      </c>
      <c r="D312" s="369" t="s">
        <v>690</v>
      </c>
      <c r="E312" s="1"/>
      <c r="F312" s="90">
        <f t="shared" ref="F312:F323" si="29">+H312</f>
        <v>0</v>
      </c>
      <c r="G312" s="103"/>
      <c r="H312" s="389">
        <v>0</v>
      </c>
      <c r="I312" s="389"/>
      <c r="J312" s="1"/>
      <c r="K312" s="47"/>
      <c r="L312" s="47"/>
      <c r="M312" s="1"/>
      <c r="N312" s="48"/>
      <c r="O312" s="1"/>
      <c r="P312" s="48"/>
    </row>
    <row r="313" spans="2:16" s="44" customFormat="1" ht="15">
      <c r="B313" s="363"/>
      <c r="C313" s="374">
        <v>637000</v>
      </c>
      <c r="D313" s="369" t="s">
        <v>691</v>
      </c>
      <c r="E313" s="2"/>
      <c r="F313" s="90">
        <f t="shared" si="29"/>
        <v>0</v>
      </c>
      <c r="G313" s="103"/>
      <c r="H313" s="392">
        <v>0</v>
      </c>
      <c r="I313" s="392"/>
      <c r="J313" s="2"/>
      <c r="K313" s="47"/>
      <c r="L313" s="47"/>
      <c r="M313" s="2"/>
      <c r="N313" s="48"/>
      <c r="O313" s="2"/>
      <c r="P313" s="48"/>
    </row>
    <row r="314" spans="2:16" s="44" customFormat="1" ht="15">
      <c r="B314" s="363"/>
      <c r="C314" s="374">
        <v>637000</v>
      </c>
      <c r="D314" s="369" t="s">
        <v>193</v>
      </c>
      <c r="E314" s="2"/>
      <c r="F314" s="90">
        <f t="shared" si="29"/>
        <v>0</v>
      </c>
      <c r="G314" s="103"/>
      <c r="H314" s="392">
        <v>0</v>
      </c>
      <c r="I314" s="392"/>
      <c r="J314" s="2"/>
      <c r="K314" s="47"/>
      <c r="L314" s="47"/>
      <c r="M314" s="2"/>
      <c r="N314" s="48"/>
      <c r="O314" s="2"/>
      <c r="P314" s="48"/>
    </row>
    <row r="315" spans="2:16" s="44" customFormat="1" ht="15">
      <c r="B315" s="363"/>
      <c r="C315" s="374">
        <v>637000</v>
      </c>
      <c r="D315" s="369" t="s">
        <v>194</v>
      </c>
      <c r="E315" s="2"/>
      <c r="F315" s="90">
        <f t="shared" si="29"/>
        <v>0</v>
      </c>
      <c r="G315" s="103"/>
      <c r="H315" s="392">
        <v>0</v>
      </c>
      <c r="I315" s="392"/>
      <c r="J315" s="2"/>
      <c r="K315" s="47"/>
      <c r="L315" s="47"/>
      <c r="M315" s="2"/>
      <c r="N315" s="48"/>
      <c r="O315" s="2"/>
      <c r="P315" s="48"/>
    </row>
    <row r="316" spans="2:16" s="44" customFormat="1" ht="15">
      <c r="B316" s="363"/>
      <c r="C316" s="50">
        <v>637000</v>
      </c>
      <c r="D316" s="55" t="s">
        <v>195</v>
      </c>
      <c r="E316" s="52">
        <v>0</v>
      </c>
      <c r="F316" s="84">
        <f t="shared" si="29"/>
        <v>0</v>
      </c>
      <c r="G316" s="104"/>
      <c r="H316" s="3">
        <v>0</v>
      </c>
      <c r="I316" s="3"/>
      <c r="J316" s="52">
        <v>0</v>
      </c>
      <c r="K316" s="53"/>
      <c r="L316" s="53"/>
      <c r="M316" s="52">
        <f>+T316</f>
        <v>0</v>
      </c>
      <c r="N316" s="48"/>
      <c r="O316" s="52">
        <f>+AC316</f>
        <v>0</v>
      </c>
      <c r="P316" s="48"/>
    </row>
    <row r="317" spans="2:16" s="44" customFormat="1" ht="15">
      <c r="B317" s="363"/>
      <c r="C317" s="50">
        <v>637010</v>
      </c>
      <c r="D317" s="55" t="s">
        <v>196</v>
      </c>
      <c r="E317" s="52"/>
      <c r="F317" s="94">
        <f t="shared" si="29"/>
        <v>30000</v>
      </c>
      <c r="G317" s="104"/>
      <c r="H317" s="58">
        <v>30000</v>
      </c>
      <c r="I317" s="58"/>
      <c r="J317" s="52"/>
      <c r="K317" s="53"/>
      <c r="L317" s="53"/>
      <c r="M317" s="52"/>
      <c r="N317" s="48"/>
      <c r="O317" s="52"/>
      <c r="P317" s="48"/>
    </row>
    <row r="318" spans="2:16" s="44" customFormat="1" ht="15">
      <c r="B318" s="363"/>
      <c r="C318" s="50">
        <v>637020</v>
      </c>
      <c r="D318" s="55" t="s">
        <v>197</v>
      </c>
      <c r="E318" s="52"/>
      <c r="F318" s="94">
        <f t="shared" si="29"/>
        <v>43200</v>
      </c>
      <c r="G318" s="104"/>
      <c r="H318" s="58">
        <v>43200</v>
      </c>
      <c r="I318" s="58"/>
      <c r="J318" s="52"/>
      <c r="K318" s="53"/>
      <c r="L318" s="53"/>
      <c r="M318" s="52"/>
      <c r="N318" s="48"/>
      <c r="O318" s="52"/>
      <c r="P318" s="48"/>
    </row>
    <row r="319" spans="2:16" s="44" customFormat="1" ht="15">
      <c r="B319" s="363"/>
      <c r="C319" s="50">
        <v>637030</v>
      </c>
      <c r="D319" s="55" t="s">
        <v>198</v>
      </c>
      <c r="E319" s="52"/>
      <c r="F319" s="94">
        <v>15000</v>
      </c>
      <c r="G319" s="104"/>
      <c r="H319" s="46">
        <v>0</v>
      </c>
      <c r="I319" s="55"/>
      <c r="J319" s="52"/>
      <c r="K319" s="53"/>
      <c r="L319" s="53"/>
      <c r="M319" s="52"/>
      <c r="N319" s="48"/>
      <c r="O319" s="52"/>
      <c r="P319" s="48"/>
    </row>
    <row r="320" spans="2:16" s="44" customFormat="1" ht="15">
      <c r="B320" s="363"/>
      <c r="C320" s="50">
        <v>637040</v>
      </c>
      <c r="D320" s="55" t="s">
        <v>199</v>
      </c>
      <c r="E320" s="52"/>
      <c r="F320" s="94">
        <v>15000</v>
      </c>
      <c r="G320" s="104"/>
      <c r="H320" s="46">
        <v>0</v>
      </c>
      <c r="I320" s="55"/>
      <c r="J320" s="52"/>
      <c r="K320" s="53"/>
      <c r="L320" s="53"/>
      <c r="M320" s="52"/>
      <c r="N320" s="48"/>
      <c r="O320" s="52"/>
      <c r="P320" s="48"/>
    </row>
    <row r="321" spans="2:16" s="44" customFormat="1" ht="15">
      <c r="B321" s="363"/>
      <c r="C321" s="50">
        <v>637050</v>
      </c>
      <c r="D321" s="55" t="s">
        <v>200</v>
      </c>
      <c r="E321" s="52"/>
      <c r="F321" s="94">
        <v>20000</v>
      </c>
      <c r="G321" s="104"/>
      <c r="H321" s="46">
        <v>0</v>
      </c>
      <c r="I321" s="55"/>
      <c r="J321" s="52"/>
      <c r="K321" s="53"/>
      <c r="L321" s="53"/>
      <c r="M321" s="52"/>
      <c r="N321" s="48"/>
      <c r="O321" s="52"/>
      <c r="P321" s="48"/>
    </row>
    <row r="322" spans="2:16" s="44" customFormat="1" ht="15">
      <c r="B322" s="363"/>
      <c r="C322" s="50">
        <v>637060</v>
      </c>
      <c r="D322" s="55" t="s">
        <v>201</v>
      </c>
      <c r="E322" s="52"/>
      <c r="F322" s="94">
        <v>20000</v>
      </c>
      <c r="G322" s="104"/>
      <c r="H322" s="46">
        <v>0</v>
      </c>
      <c r="I322" s="55"/>
      <c r="J322" s="52"/>
      <c r="K322" s="53"/>
      <c r="L322" s="53"/>
      <c r="M322" s="52"/>
      <c r="N322" s="48"/>
      <c r="O322" s="52"/>
      <c r="P322" s="48"/>
    </row>
    <row r="323" spans="2:16" s="44" customFormat="1" ht="15">
      <c r="B323" s="363"/>
      <c r="C323" s="50">
        <v>637070</v>
      </c>
      <c r="D323" s="55" t="s">
        <v>202</v>
      </c>
      <c r="E323" s="52"/>
      <c r="F323" s="94">
        <f t="shared" si="29"/>
        <v>0</v>
      </c>
      <c r="G323" s="104"/>
      <c r="H323" s="46">
        <v>0</v>
      </c>
      <c r="I323" s="55"/>
      <c r="J323" s="52"/>
      <c r="K323" s="53"/>
      <c r="L323" s="53"/>
      <c r="M323" s="52"/>
      <c r="N323" s="48"/>
      <c r="O323" s="52"/>
      <c r="P323" s="48"/>
    </row>
    <row r="324" spans="2:16" s="44" customFormat="1" ht="15">
      <c r="B324" s="363"/>
      <c r="C324" s="50">
        <v>637071</v>
      </c>
      <c r="D324" s="55" t="s">
        <v>203</v>
      </c>
      <c r="E324" s="52"/>
      <c r="F324" s="94">
        <v>5000</v>
      </c>
      <c r="G324" s="104"/>
      <c r="H324" s="46">
        <v>0</v>
      </c>
      <c r="I324" s="55"/>
      <c r="J324" s="52"/>
      <c r="K324" s="53"/>
      <c r="L324" s="53"/>
      <c r="M324" s="52"/>
      <c r="N324" s="48"/>
      <c r="O324" s="52"/>
      <c r="P324" s="48"/>
    </row>
    <row r="325" spans="2:16" s="44" customFormat="1" ht="15">
      <c r="B325" s="363"/>
      <c r="C325" s="50">
        <v>637072</v>
      </c>
      <c r="D325" s="55" t="s">
        <v>204</v>
      </c>
      <c r="E325" s="52"/>
      <c r="F325" s="94">
        <v>10000</v>
      </c>
      <c r="G325" s="104"/>
      <c r="H325" s="46">
        <v>0</v>
      </c>
      <c r="I325" s="55"/>
      <c r="J325" s="52"/>
      <c r="K325" s="53"/>
      <c r="L325" s="53"/>
      <c r="M325" s="52"/>
      <c r="N325" s="48"/>
      <c r="O325" s="52"/>
      <c r="P325" s="48"/>
    </row>
    <row r="326" spans="2:16" s="44" customFormat="1" ht="15">
      <c r="B326" s="363"/>
      <c r="C326" s="50">
        <v>637072</v>
      </c>
      <c r="D326" s="55" t="s">
        <v>205</v>
      </c>
      <c r="E326" s="52"/>
      <c r="F326" s="94">
        <v>15000</v>
      </c>
      <c r="G326" s="104"/>
      <c r="H326" s="46">
        <v>0</v>
      </c>
      <c r="I326" s="55"/>
      <c r="J326" s="52"/>
      <c r="K326" s="53"/>
      <c r="L326" s="53"/>
      <c r="M326" s="52"/>
      <c r="N326" s="48"/>
      <c r="O326" s="52"/>
      <c r="P326" s="48"/>
    </row>
    <row r="327" spans="2:16" s="44" customFormat="1" ht="15">
      <c r="B327" s="363"/>
      <c r="C327" s="50">
        <v>637080</v>
      </c>
      <c r="D327" s="55" t="s">
        <v>206</v>
      </c>
      <c r="E327" s="52"/>
      <c r="F327" s="94">
        <v>40000</v>
      </c>
      <c r="G327" s="104"/>
      <c r="H327" s="46">
        <v>0</v>
      </c>
      <c r="I327" s="55"/>
      <c r="J327" s="52"/>
      <c r="K327" s="53"/>
      <c r="L327" s="53"/>
      <c r="M327" s="52"/>
      <c r="N327" s="48"/>
      <c r="O327" s="52"/>
      <c r="P327" s="48"/>
    </row>
    <row r="328" spans="2:16" s="44" customFormat="1" ht="15">
      <c r="B328" s="363"/>
      <c r="C328" s="59" t="s">
        <v>207</v>
      </c>
      <c r="D328" s="55" t="s">
        <v>208</v>
      </c>
      <c r="E328" s="52"/>
      <c r="F328" s="94">
        <v>17400</v>
      </c>
      <c r="G328" s="104"/>
      <c r="H328" s="58">
        <v>0</v>
      </c>
      <c r="I328" s="58"/>
      <c r="J328" s="52"/>
      <c r="K328" s="53"/>
      <c r="L328" s="53"/>
      <c r="M328" s="52"/>
      <c r="N328" s="48"/>
      <c r="O328" s="52"/>
      <c r="P328" s="48"/>
    </row>
    <row r="329" spans="2:16" s="44" customFormat="1" ht="15">
      <c r="B329" s="363"/>
      <c r="C329" s="45">
        <v>639000</v>
      </c>
      <c r="D329" s="46" t="s">
        <v>209</v>
      </c>
      <c r="E329" s="60">
        <v>0</v>
      </c>
      <c r="F329" s="95">
        <f>+H329</f>
        <v>0</v>
      </c>
      <c r="G329" s="104"/>
      <c r="H329" s="46">
        <v>0</v>
      </c>
      <c r="I329" s="46"/>
      <c r="J329" s="60">
        <v>0</v>
      </c>
      <c r="K329" s="53"/>
      <c r="L329" s="53"/>
      <c r="M329" s="60">
        <f>+T329</f>
        <v>0</v>
      </c>
      <c r="N329" s="48"/>
      <c r="O329" s="60">
        <f>+AC329</f>
        <v>0</v>
      </c>
      <c r="P329" s="48"/>
    </row>
    <row r="330" spans="2:16" s="44" customFormat="1" ht="15">
      <c r="B330" s="363"/>
      <c r="C330" s="49"/>
      <c r="D330" s="47"/>
      <c r="E330" s="47"/>
      <c r="F330" s="85"/>
      <c r="G330" s="104"/>
      <c r="H330" s="47"/>
      <c r="I330" s="47"/>
      <c r="J330" s="47"/>
      <c r="K330" s="47"/>
      <c r="L330" s="47"/>
      <c r="M330" s="47"/>
      <c r="N330" s="48"/>
      <c r="O330" s="47"/>
      <c r="P330" s="48"/>
    </row>
    <row r="331" spans="2:16" customFormat="1" ht="32.25" thickBot="1">
      <c r="C331" s="23"/>
      <c r="D331" s="24"/>
      <c r="E331" s="25" t="str">
        <f>+E$4</f>
        <v>BUDGET 2024</v>
      </c>
      <c r="F331" s="81" t="str">
        <f>F$4</f>
        <v>Au 27/11/2024</v>
      </c>
      <c r="G331" s="101"/>
      <c r="H331" s="25" t="s">
        <v>50</v>
      </c>
      <c r="I331" s="165">
        <v>45930</v>
      </c>
      <c r="J331" s="25" t="str">
        <f>+J$4</f>
        <v>BUD 2025 base</v>
      </c>
      <c r="K331" s="24"/>
      <c r="L331" s="24"/>
      <c r="M331" s="78" t="str">
        <f>+M$4</f>
        <v>BUD 2025 Adeps A</v>
      </c>
      <c r="N331" s="79"/>
      <c r="O331" s="78" t="str">
        <f>+O$4</f>
        <v>BUD 2025 Adeps B</v>
      </c>
      <c r="P331" s="19"/>
    </row>
    <row r="332" spans="2:16" customFormat="1" ht="16.5" thickBot="1">
      <c r="B332" s="27" t="s">
        <v>210</v>
      </c>
      <c r="C332" s="28"/>
      <c r="D332" s="29"/>
      <c r="E332" s="34">
        <f>+E335+E336+E337+E338+E341+E344</f>
        <v>2600</v>
      </c>
      <c r="F332" s="96">
        <f>+F335+F336+F337+F338+F341+F342+F343+F344</f>
        <v>1515.5</v>
      </c>
      <c r="G332" s="102">
        <f>+F332/E332</f>
        <v>0.58288461538461533</v>
      </c>
      <c r="H332" s="31"/>
      <c r="I332" s="34">
        <f>+I335+I336+I337+I338+I341+I344</f>
        <v>96.09</v>
      </c>
      <c r="J332" s="34">
        <f>+J335+J336+J337+J338+J341+J344</f>
        <v>2600</v>
      </c>
      <c r="K332" s="167">
        <f>(+I332/J332)-1</f>
        <v>-0.9630423076923077</v>
      </c>
      <c r="L332" s="33"/>
      <c r="M332" s="34">
        <f>+M335+M336+M337+M338+M341+M344</f>
        <v>2600</v>
      </c>
      <c r="N332" s="19"/>
      <c r="O332" s="34">
        <f>+O335+O336+O337+O338+O341+O344</f>
        <v>2600</v>
      </c>
      <c r="P332" s="19"/>
    </row>
    <row r="333" spans="2:16" ht="45.95" hidden="1" customHeight="1">
      <c r="C333" s="6">
        <v>640000</v>
      </c>
      <c r="D333" s="7" t="s">
        <v>211</v>
      </c>
      <c r="E333" s="16">
        <v>500</v>
      </c>
      <c r="F333" s="91">
        <f>+H333</f>
        <v>0</v>
      </c>
      <c r="G333" s="105"/>
      <c r="H333" s="16">
        <v>0</v>
      </c>
      <c r="I333" s="16"/>
      <c r="J333" s="16">
        <v>500</v>
      </c>
      <c r="K333" s="17"/>
      <c r="L333" s="17"/>
      <c r="M333" s="16">
        <v>500</v>
      </c>
      <c r="N333" s="14"/>
      <c r="O333" s="16">
        <v>500</v>
      </c>
      <c r="P333" s="14"/>
    </row>
    <row r="334" spans="2:16" ht="45.95" hidden="1" customHeight="1">
      <c r="C334" s="8">
        <v>640000</v>
      </c>
      <c r="D334" s="9" t="s">
        <v>212</v>
      </c>
      <c r="E334" s="18"/>
      <c r="F334" s="92">
        <f>+H334</f>
        <v>0</v>
      </c>
      <c r="G334" s="105"/>
      <c r="H334" s="18">
        <v>0</v>
      </c>
      <c r="I334" s="18"/>
      <c r="J334" s="18"/>
      <c r="K334" s="17"/>
      <c r="L334" s="17"/>
      <c r="M334" s="18"/>
      <c r="N334" s="14"/>
      <c r="O334" s="18"/>
      <c r="P334" s="14"/>
    </row>
    <row r="335" spans="2:16" s="44" customFormat="1" ht="15">
      <c r="B335" s="363"/>
      <c r="C335" s="50">
        <v>640000</v>
      </c>
      <c r="D335" s="55" t="s">
        <v>213</v>
      </c>
      <c r="E335" s="52">
        <f>SUM(E333:E334)</f>
        <v>500</v>
      </c>
      <c r="F335" s="84">
        <f t="shared" ref="F335:F340" si="30">+H335</f>
        <v>0</v>
      </c>
      <c r="G335" s="104"/>
      <c r="H335" s="3">
        <v>0</v>
      </c>
      <c r="I335" s="3"/>
      <c r="J335" s="52">
        <f>SUM(J333:J334)</f>
        <v>500</v>
      </c>
      <c r="K335" s="53"/>
      <c r="L335" s="53"/>
      <c r="M335" s="52">
        <f>SUM(M333:M334)</f>
        <v>500</v>
      </c>
      <c r="N335" s="48"/>
      <c r="O335" s="52">
        <f>SUM(O333:O334)</f>
        <v>500</v>
      </c>
      <c r="P335" s="48"/>
    </row>
    <row r="336" spans="2:16" s="44" customFormat="1" ht="15">
      <c r="B336" s="363"/>
      <c r="C336" s="45">
        <v>640010</v>
      </c>
      <c r="D336" s="46" t="s">
        <v>214</v>
      </c>
      <c r="E336" s="52">
        <v>1200</v>
      </c>
      <c r="F336" s="84">
        <f t="shared" si="30"/>
        <v>1305.7</v>
      </c>
      <c r="G336" s="104"/>
      <c r="H336" s="3">
        <v>1305.7</v>
      </c>
      <c r="I336" s="3"/>
      <c r="J336" s="52">
        <v>1200</v>
      </c>
      <c r="K336" s="53"/>
      <c r="L336" s="53"/>
      <c r="M336" s="52">
        <v>1200</v>
      </c>
      <c r="N336" s="48"/>
      <c r="O336" s="52">
        <v>1200</v>
      </c>
      <c r="P336" s="48"/>
    </row>
    <row r="337" spans="2:16" s="44" customFormat="1" ht="15">
      <c r="B337" s="363"/>
      <c r="C337" s="45">
        <v>640020</v>
      </c>
      <c r="D337" s="46" t="s">
        <v>213</v>
      </c>
      <c r="E337" s="52">
        <v>0</v>
      </c>
      <c r="F337" s="84">
        <f t="shared" si="30"/>
        <v>212.56</v>
      </c>
      <c r="G337" s="104"/>
      <c r="H337" s="3">
        <v>212.56</v>
      </c>
      <c r="I337" s="3">
        <v>97.41</v>
      </c>
      <c r="J337" s="52">
        <v>0</v>
      </c>
      <c r="K337" s="53"/>
      <c r="L337" s="53"/>
      <c r="M337" s="52">
        <f>+T337</f>
        <v>0</v>
      </c>
      <c r="N337" s="48"/>
      <c r="O337" s="52">
        <f>+AC337</f>
        <v>0</v>
      </c>
      <c r="P337" s="48"/>
    </row>
    <row r="338" spans="2:16" s="44" customFormat="1" ht="15">
      <c r="B338" s="363"/>
      <c r="C338" s="370">
        <v>640020</v>
      </c>
      <c r="D338" s="371" t="s">
        <v>215</v>
      </c>
      <c r="E338" s="54">
        <v>0</v>
      </c>
      <c r="F338" s="415">
        <f t="shared" si="30"/>
        <v>0</v>
      </c>
      <c r="G338" s="105"/>
      <c r="H338" s="416">
        <v>0</v>
      </c>
      <c r="I338" s="416"/>
      <c r="J338" s="54">
        <v>0</v>
      </c>
      <c r="K338" s="53"/>
      <c r="L338" s="53"/>
      <c r="M338" s="54">
        <f>+T338</f>
        <v>0</v>
      </c>
      <c r="N338" s="48"/>
      <c r="O338" s="54">
        <f>+AC338</f>
        <v>0</v>
      </c>
      <c r="P338" s="48"/>
    </row>
    <row r="339" spans="2:16" s="44" customFormat="1" ht="45.95" hidden="1" customHeight="1">
      <c r="B339" s="363"/>
      <c r="C339" s="372">
        <v>640030</v>
      </c>
      <c r="D339" s="373" t="s">
        <v>216</v>
      </c>
      <c r="E339" s="389">
        <v>100</v>
      </c>
      <c r="F339" s="399">
        <f t="shared" si="30"/>
        <v>0</v>
      </c>
      <c r="G339" s="105"/>
      <c r="H339" s="389">
        <v>0</v>
      </c>
      <c r="I339" s="389"/>
      <c r="J339" s="389">
        <v>100</v>
      </c>
      <c r="K339" s="396"/>
      <c r="L339" s="396"/>
      <c r="M339" s="389">
        <v>100</v>
      </c>
      <c r="N339" s="48"/>
      <c r="O339" s="389">
        <v>100</v>
      </c>
      <c r="P339" s="48"/>
    </row>
    <row r="340" spans="2:16" s="44" customFormat="1" ht="45.95" hidden="1" customHeight="1">
      <c r="B340" s="363"/>
      <c r="C340" s="374">
        <v>640030</v>
      </c>
      <c r="D340" s="369" t="s">
        <v>217</v>
      </c>
      <c r="E340" s="392">
        <v>300</v>
      </c>
      <c r="F340" s="400">
        <f t="shared" si="30"/>
        <v>-2.76</v>
      </c>
      <c r="G340" s="105"/>
      <c r="H340" s="392">
        <v>-2.76</v>
      </c>
      <c r="I340" s="392"/>
      <c r="J340" s="392">
        <v>300</v>
      </c>
      <c r="K340" s="396"/>
      <c r="L340" s="396"/>
      <c r="M340" s="392">
        <v>300</v>
      </c>
      <c r="N340" s="48"/>
      <c r="O340" s="392">
        <v>300</v>
      </c>
      <c r="P340" s="48"/>
    </row>
    <row r="341" spans="2:16" s="44" customFormat="1" ht="15">
      <c r="B341" s="363"/>
      <c r="C341" s="50">
        <v>640030</v>
      </c>
      <c r="D341" s="55" t="s">
        <v>218</v>
      </c>
      <c r="E341" s="52">
        <f>SUM(E339:E340)</f>
        <v>400</v>
      </c>
      <c r="F341" s="84">
        <f>+H341</f>
        <v>-2.76</v>
      </c>
      <c r="G341" s="104"/>
      <c r="H341" s="3">
        <v>-2.76</v>
      </c>
      <c r="I341" s="3">
        <v>-1.32</v>
      </c>
      <c r="J341" s="52">
        <f>SUM(J339:J340)</f>
        <v>400</v>
      </c>
      <c r="K341" s="53"/>
      <c r="L341" s="53"/>
      <c r="M341" s="52">
        <f>SUM(M339:M340)</f>
        <v>400</v>
      </c>
      <c r="N341" s="48"/>
      <c r="O341" s="52">
        <f>SUM(O339:O340)</f>
        <v>400</v>
      </c>
      <c r="P341" s="48"/>
    </row>
    <row r="342" spans="2:16" s="44" customFormat="1" ht="15">
      <c r="B342" s="363"/>
      <c r="C342" s="50">
        <v>642000</v>
      </c>
      <c r="D342" s="55" t="s">
        <v>219</v>
      </c>
      <c r="E342" s="52"/>
      <c r="F342" s="84">
        <f t="shared" ref="F342:F344" si="31">+H342</f>
        <v>0</v>
      </c>
      <c r="G342" s="104"/>
      <c r="H342" s="3">
        <v>0</v>
      </c>
      <c r="I342" s="3"/>
      <c r="J342" s="52"/>
      <c r="K342" s="53"/>
      <c r="L342" s="53"/>
      <c r="M342" s="52"/>
      <c r="N342" s="48"/>
      <c r="O342" s="52"/>
      <c r="P342" s="48"/>
    </row>
    <row r="343" spans="2:16" s="44" customFormat="1" ht="15">
      <c r="B343" s="363"/>
      <c r="C343" s="50">
        <v>642100</v>
      </c>
      <c r="D343" s="55" t="s">
        <v>219</v>
      </c>
      <c r="E343" s="52"/>
      <c r="F343" s="84">
        <f t="shared" si="31"/>
        <v>0</v>
      </c>
      <c r="G343" s="104"/>
      <c r="H343" s="3">
        <v>0</v>
      </c>
      <c r="I343" s="3"/>
      <c r="J343" s="52"/>
      <c r="K343" s="53"/>
      <c r="L343" s="53"/>
      <c r="M343" s="52"/>
      <c r="N343" s="48"/>
      <c r="O343" s="52"/>
      <c r="P343" s="48"/>
    </row>
    <row r="344" spans="2:16" s="44" customFormat="1" ht="15">
      <c r="B344" s="363"/>
      <c r="C344" s="45">
        <v>644000</v>
      </c>
      <c r="D344" s="46" t="s">
        <v>220</v>
      </c>
      <c r="E344" s="52">
        <v>500</v>
      </c>
      <c r="F344" s="84">
        <f t="shared" si="31"/>
        <v>0</v>
      </c>
      <c r="G344" s="104"/>
      <c r="H344" s="3">
        <v>0</v>
      </c>
      <c r="I344" s="3"/>
      <c r="J344" s="52">
        <v>500</v>
      </c>
      <c r="K344" s="53"/>
      <c r="L344" s="53"/>
      <c r="M344" s="52">
        <v>500</v>
      </c>
      <c r="N344" s="48"/>
      <c r="O344" s="52">
        <v>500</v>
      </c>
      <c r="P344" s="48"/>
    </row>
    <row r="345" spans="2:16" s="44" customFormat="1" ht="66" customHeight="1">
      <c r="B345" s="363"/>
      <c r="C345" s="49"/>
      <c r="D345" s="47"/>
      <c r="E345" s="47"/>
      <c r="F345" s="85"/>
      <c r="G345" s="104"/>
      <c r="H345" s="47"/>
      <c r="I345" s="47"/>
      <c r="J345" s="47"/>
      <c r="K345" s="47"/>
      <c r="L345" s="47"/>
      <c r="M345" s="47"/>
      <c r="N345" s="48"/>
      <c r="O345" s="47"/>
      <c r="P345" s="48"/>
    </row>
    <row r="346" spans="2:16" customFormat="1" ht="32.25" thickBot="1">
      <c r="C346" s="23"/>
      <c r="D346" s="24"/>
      <c r="E346" s="25" t="str">
        <f>+E$4</f>
        <v>BUDGET 2024</v>
      </c>
      <c r="F346" s="81" t="str">
        <f>F$4</f>
        <v>Au 27/11/2024</v>
      </c>
      <c r="G346" s="101"/>
      <c r="H346" s="25" t="s">
        <v>50</v>
      </c>
      <c r="I346" s="165">
        <v>45930</v>
      </c>
      <c r="J346" s="25" t="str">
        <f>+J$4</f>
        <v>BUD 2025 base</v>
      </c>
      <c r="K346" s="24"/>
      <c r="L346" s="24"/>
      <c r="M346" s="78" t="str">
        <f>+M$4</f>
        <v>BUD 2025 Adeps A</v>
      </c>
      <c r="N346" s="79"/>
      <c r="O346" s="78" t="str">
        <f>+O$4</f>
        <v>BUD 2025 Adeps B</v>
      </c>
      <c r="P346" s="19"/>
    </row>
    <row r="347" spans="2:16" customFormat="1" ht="16.5" thickBot="1">
      <c r="B347" s="27" t="s">
        <v>84</v>
      </c>
      <c r="C347" s="28"/>
      <c r="D347" s="29"/>
      <c r="E347" s="37">
        <f>SUM(E354+E355+E356+E357+E358+E359)</f>
        <v>3042.66</v>
      </c>
      <c r="F347" s="86">
        <f>+F354+F355+F356+F357+F358+F359</f>
        <v>4828.5999999999995</v>
      </c>
      <c r="G347" s="106">
        <f>+F347/E347</f>
        <v>1.5869666673239862</v>
      </c>
      <c r="H347" s="31"/>
      <c r="I347" s="37">
        <f>SUM(I354+I355+I356+I357+I358+I359)</f>
        <v>0</v>
      </c>
      <c r="J347" s="37">
        <f>SUM(J354+J355+J356+J357+J358+J359)</f>
        <v>5162.8600000000006</v>
      </c>
      <c r="K347" s="33"/>
      <c r="L347" s="33"/>
      <c r="M347" s="37">
        <f>SUM(M354+M355+M356+M357+M358+M359)</f>
        <v>5162.8600000000006</v>
      </c>
      <c r="N347" s="19"/>
      <c r="O347" s="37">
        <f>SUM(O354+O355+O356+O357+O358+O359)</f>
        <v>5162.8600000000006</v>
      </c>
      <c r="P347" s="19"/>
    </row>
    <row r="348" spans="2:16" s="44" customFormat="1" ht="15">
      <c r="B348" s="363"/>
      <c r="C348" s="372">
        <v>650000</v>
      </c>
      <c r="D348" s="373" t="s">
        <v>221</v>
      </c>
      <c r="E348" s="389">
        <v>1672.66</v>
      </c>
      <c r="F348" s="399">
        <f t="shared" ref="F348:F359" si="32">+H348</f>
        <v>1541.95</v>
      </c>
      <c r="G348" s="105"/>
      <c r="H348" s="389">
        <v>1541.95</v>
      </c>
      <c r="I348" s="389"/>
      <c r="J348" s="389">
        <v>1444.42</v>
      </c>
      <c r="K348" s="396"/>
      <c r="L348" s="396"/>
      <c r="M348" s="389">
        <v>1444.42</v>
      </c>
      <c r="N348" s="48"/>
      <c r="O348" s="389">
        <v>1444.42</v>
      </c>
      <c r="P348" s="48"/>
    </row>
    <row r="349" spans="2:16" s="44" customFormat="1" ht="15">
      <c r="B349" s="363"/>
      <c r="C349" s="374">
        <v>650000</v>
      </c>
      <c r="D349" s="369" t="s">
        <v>222</v>
      </c>
      <c r="E349" s="392">
        <v>0</v>
      </c>
      <c r="F349" s="400">
        <f t="shared" si="32"/>
        <v>0</v>
      </c>
      <c r="G349" s="105"/>
      <c r="H349" s="392">
        <v>0</v>
      </c>
      <c r="I349" s="392"/>
      <c r="J349" s="392">
        <v>0</v>
      </c>
      <c r="K349" s="396"/>
      <c r="L349" s="396"/>
      <c r="M349" s="392">
        <v>0</v>
      </c>
      <c r="N349" s="48"/>
      <c r="O349" s="392">
        <v>0</v>
      </c>
      <c r="P349" s="48"/>
    </row>
    <row r="350" spans="2:16" s="44" customFormat="1" ht="15">
      <c r="B350" s="363"/>
      <c r="C350" s="374">
        <v>650000</v>
      </c>
      <c r="D350" s="386" t="s">
        <v>223</v>
      </c>
      <c r="E350" s="392"/>
      <c r="F350" s="400">
        <f t="shared" si="32"/>
        <v>0</v>
      </c>
      <c r="G350" s="105"/>
      <c r="H350" s="392">
        <v>0</v>
      </c>
      <c r="I350" s="392"/>
      <c r="J350" s="392"/>
      <c r="K350" s="396"/>
      <c r="L350" s="396"/>
      <c r="M350" s="392"/>
      <c r="N350" s="48"/>
      <c r="O350" s="392"/>
      <c r="P350" s="48"/>
    </row>
    <row r="351" spans="2:16" s="44" customFormat="1" ht="15">
      <c r="B351" s="363"/>
      <c r="C351" s="374">
        <v>650000</v>
      </c>
      <c r="D351" s="386" t="s">
        <v>692</v>
      </c>
      <c r="E351" s="392"/>
      <c r="F351" s="400">
        <f t="shared" si="32"/>
        <v>2180.6699999999996</v>
      </c>
      <c r="G351" s="105"/>
      <c r="H351" s="392">
        <v>2180.6699999999996</v>
      </c>
      <c r="I351" s="392"/>
      <c r="J351" s="392">
        <v>2668.44</v>
      </c>
      <c r="K351" s="396"/>
      <c r="L351" s="396"/>
      <c r="M351" s="392">
        <v>2668.44</v>
      </c>
      <c r="N351" s="48"/>
      <c r="O351" s="392">
        <v>2668.44</v>
      </c>
      <c r="P351" s="48"/>
    </row>
    <row r="352" spans="2:16" s="44" customFormat="1" ht="15">
      <c r="B352" s="363"/>
      <c r="C352" s="374">
        <v>650000</v>
      </c>
      <c r="D352" s="386" t="s">
        <v>225</v>
      </c>
      <c r="E352" s="392">
        <v>200</v>
      </c>
      <c r="F352" s="400">
        <f t="shared" si="32"/>
        <v>126.17000000000002</v>
      </c>
      <c r="G352" s="105"/>
      <c r="H352" s="392">
        <v>126.17000000000002</v>
      </c>
      <c r="I352" s="392"/>
      <c r="J352" s="392">
        <v>0</v>
      </c>
      <c r="K352" s="396"/>
      <c r="L352" s="396"/>
      <c r="M352" s="392">
        <v>0</v>
      </c>
      <c r="N352" s="48"/>
      <c r="O352" s="392">
        <v>0</v>
      </c>
      <c r="P352" s="48"/>
    </row>
    <row r="353" spans="2:16" s="44" customFormat="1" ht="15">
      <c r="B353" s="363"/>
      <c r="C353" s="374">
        <v>650000</v>
      </c>
      <c r="D353" s="386" t="s">
        <v>226</v>
      </c>
      <c r="E353" s="392">
        <v>320</v>
      </c>
      <c r="F353" s="400">
        <f t="shared" si="32"/>
        <v>298.66000000000003</v>
      </c>
      <c r="G353" s="105"/>
      <c r="H353" s="392">
        <v>298.66000000000003</v>
      </c>
      <c r="I353" s="392"/>
      <c r="J353" s="392">
        <v>200</v>
      </c>
      <c r="K353" s="396"/>
      <c r="L353" s="396"/>
      <c r="M353" s="392">
        <v>200</v>
      </c>
      <c r="N353" s="48"/>
      <c r="O353" s="392">
        <v>200</v>
      </c>
      <c r="P353" s="48"/>
    </row>
    <row r="354" spans="2:16" s="44" customFormat="1" ht="15">
      <c r="B354" s="363"/>
      <c r="C354" s="50">
        <v>650000</v>
      </c>
      <c r="D354" s="51" t="s">
        <v>227</v>
      </c>
      <c r="E354" s="52">
        <f>SUM(E348:E353)</f>
        <v>2192.66</v>
      </c>
      <c r="F354" s="84">
        <f>SUM(F348:F353)</f>
        <v>4147.45</v>
      </c>
      <c r="G354" s="104"/>
      <c r="H354" s="3">
        <v>4147.45</v>
      </c>
      <c r="I354" s="3"/>
      <c r="J354" s="52">
        <f>SUM(J348:J353)</f>
        <v>4312.8600000000006</v>
      </c>
      <c r="K354" s="53"/>
      <c r="L354" s="53"/>
      <c r="M354" s="52">
        <f>SUM(M348:M353)</f>
        <v>4312.8600000000006</v>
      </c>
      <c r="N354" s="48"/>
      <c r="O354" s="52">
        <f>SUM(O348:O353)</f>
        <v>4312.8600000000006</v>
      </c>
      <c r="P354" s="48"/>
    </row>
    <row r="355" spans="2:16" s="44" customFormat="1" ht="15">
      <c r="B355" s="363"/>
      <c r="C355" s="45">
        <v>657000</v>
      </c>
      <c r="D355" s="46" t="s">
        <v>693</v>
      </c>
      <c r="E355" s="54">
        <v>750</v>
      </c>
      <c r="F355" s="87">
        <f t="shared" si="32"/>
        <v>430.69</v>
      </c>
      <c r="G355" s="104"/>
      <c r="H355" s="4">
        <v>430.69</v>
      </c>
      <c r="I355" s="4"/>
      <c r="J355" s="54">
        <v>750</v>
      </c>
      <c r="K355" s="53"/>
      <c r="L355" s="53"/>
      <c r="M355" s="54">
        <v>750</v>
      </c>
      <c r="N355" s="48"/>
      <c r="O355" s="54">
        <v>750</v>
      </c>
      <c r="P355" s="48"/>
    </row>
    <row r="356" spans="2:16" s="44" customFormat="1" ht="15">
      <c r="B356" s="363"/>
      <c r="C356" s="45">
        <v>670000</v>
      </c>
      <c r="D356" s="46" t="s">
        <v>229</v>
      </c>
      <c r="E356" s="54">
        <v>100</v>
      </c>
      <c r="F356" s="87">
        <f t="shared" si="32"/>
        <v>0</v>
      </c>
      <c r="G356" s="104"/>
      <c r="H356" s="4">
        <v>0</v>
      </c>
      <c r="I356" s="4"/>
      <c r="J356" s="54">
        <v>100</v>
      </c>
      <c r="K356" s="53"/>
      <c r="L356" s="53"/>
      <c r="M356" s="54">
        <v>100</v>
      </c>
      <c r="N356" s="48"/>
      <c r="O356" s="54">
        <v>100</v>
      </c>
      <c r="P356" s="48"/>
    </row>
    <row r="357" spans="2:16" s="44" customFormat="1" ht="15">
      <c r="B357" s="363"/>
      <c r="C357" s="45">
        <v>670200</v>
      </c>
      <c r="D357" s="46" t="s">
        <v>231</v>
      </c>
      <c r="E357" s="54">
        <v>0</v>
      </c>
      <c r="F357" s="87">
        <f t="shared" si="32"/>
        <v>0</v>
      </c>
      <c r="G357" s="104"/>
      <c r="H357" s="4">
        <v>0</v>
      </c>
      <c r="I357" s="4"/>
      <c r="J357" s="54">
        <v>0</v>
      </c>
      <c r="K357" s="53"/>
      <c r="L357" s="53"/>
      <c r="M357" s="54">
        <f>+T357</f>
        <v>0</v>
      </c>
      <c r="N357" s="48"/>
      <c r="O357" s="54">
        <f>+AC357</f>
        <v>0</v>
      </c>
      <c r="P357" s="48"/>
    </row>
    <row r="358" spans="2:16" s="44" customFormat="1" ht="15">
      <c r="B358" s="363"/>
      <c r="C358" s="45">
        <v>671000</v>
      </c>
      <c r="D358" s="46" t="s">
        <v>694</v>
      </c>
      <c r="E358" s="54">
        <v>0</v>
      </c>
      <c r="F358" s="87">
        <f t="shared" si="32"/>
        <v>250.46</v>
      </c>
      <c r="G358" s="104"/>
      <c r="H358" s="4">
        <v>250.46</v>
      </c>
      <c r="I358" s="4"/>
      <c r="J358" s="54">
        <v>0</v>
      </c>
      <c r="K358" s="53"/>
      <c r="L358" s="53"/>
      <c r="M358" s="54">
        <f>+T358</f>
        <v>0</v>
      </c>
      <c r="N358" s="48"/>
      <c r="O358" s="54">
        <f>+AC358</f>
        <v>0</v>
      </c>
      <c r="P358" s="48"/>
    </row>
    <row r="359" spans="2:16" s="44" customFormat="1" ht="15">
      <c r="B359" s="363"/>
      <c r="C359" s="45">
        <v>690000</v>
      </c>
      <c r="D359" s="46" t="s">
        <v>233</v>
      </c>
      <c r="E359" s="54">
        <v>0</v>
      </c>
      <c r="F359" s="87">
        <f t="shared" si="32"/>
        <v>0</v>
      </c>
      <c r="G359" s="104"/>
      <c r="H359" s="4">
        <v>0</v>
      </c>
      <c r="I359" s="4"/>
      <c r="J359" s="54">
        <v>0</v>
      </c>
      <c r="K359" s="53"/>
      <c r="L359" s="53"/>
      <c r="M359" s="54">
        <f>+T359</f>
        <v>0</v>
      </c>
      <c r="N359" s="48"/>
      <c r="O359" s="54">
        <f>+AC359</f>
        <v>0</v>
      </c>
      <c r="P359" s="48"/>
    </row>
    <row r="360" spans="2:16" s="44" customFormat="1" ht="15">
      <c r="B360" s="363"/>
      <c r="C360" s="49"/>
      <c r="D360" s="47"/>
      <c r="E360" s="47"/>
      <c r="F360" s="85"/>
      <c r="G360" s="104"/>
      <c r="H360" s="47"/>
      <c r="I360" s="47"/>
      <c r="J360" s="47"/>
      <c r="K360" s="47"/>
      <c r="L360" s="47"/>
      <c r="M360" s="47"/>
      <c r="N360" s="48"/>
      <c r="O360" s="47"/>
      <c r="P360" s="48"/>
    </row>
    <row r="361" spans="2:16" customFormat="1" ht="32.25" thickBot="1">
      <c r="C361" s="23"/>
      <c r="D361" s="24"/>
      <c r="E361" s="25" t="str">
        <f>+E$4</f>
        <v>BUDGET 2024</v>
      </c>
      <c r="F361" s="81" t="str">
        <f>F$4</f>
        <v>Au 27/11/2024</v>
      </c>
      <c r="G361" s="101"/>
      <c r="H361" s="25" t="s">
        <v>50</v>
      </c>
      <c r="I361" s="165">
        <v>45930</v>
      </c>
      <c r="J361" s="25" t="str">
        <f>+J$4</f>
        <v>BUD 2025 base</v>
      </c>
      <c r="K361" s="24"/>
      <c r="L361" s="24"/>
      <c r="M361" s="78" t="str">
        <f>+M$4</f>
        <v>BUD 2025 Adeps A</v>
      </c>
      <c r="N361" s="79"/>
      <c r="O361" s="78" t="str">
        <f>+O$4</f>
        <v>BUD 2025 Adeps B</v>
      </c>
      <c r="P361" s="19"/>
    </row>
    <row r="362" spans="2:16" customFormat="1" ht="16.5" thickBot="1">
      <c r="B362" s="27" t="s">
        <v>234</v>
      </c>
      <c r="C362" s="39"/>
      <c r="D362" s="40"/>
      <c r="E362" s="37">
        <f>+E364+E363</f>
        <v>0</v>
      </c>
      <c r="F362" s="82">
        <f>+F363+F364</f>
        <v>0</v>
      </c>
      <c r="G362" s="102">
        <v>0</v>
      </c>
      <c r="H362" s="31"/>
      <c r="I362" s="31"/>
      <c r="J362" s="37">
        <f>+J364+J363</f>
        <v>0</v>
      </c>
      <c r="K362" s="33"/>
      <c r="L362" s="33"/>
      <c r="M362" s="37">
        <f>+M364+M363</f>
        <v>0</v>
      </c>
      <c r="N362" s="19"/>
      <c r="O362" s="37">
        <f>+O364+O363</f>
        <v>0</v>
      </c>
      <c r="P362" s="19"/>
    </row>
    <row r="363" spans="2:16" s="44" customFormat="1" ht="15">
      <c r="B363" s="363"/>
      <c r="C363" s="45">
        <v>660200</v>
      </c>
      <c r="D363" s="46" t="s">
        <v>235</v>
      </c>
      <c r="E363" s="46">
        <v>0</v>
      </c>
      <c r="F363" s="95">
        <f t="shared" ref="F363:F364" si="33">+H363</f>
        <v>0</v>
      </c>
      <c r="G363" s="104"/>
      <c r="H363" s="46">
        <v>0</v>
      </c>
      <c r="I363" s="46"/>
      <c r="J363" s="46">
        <v>0</v>
      </c>
      <c r="K363" s="47"/>
      <c r="L363" s="47"/>
      <c r="M363" s="46">
        <f>+T363</f>
        <v>0</v>
      </c>
      <c r="N363" s="48"/>
      <c r="O363" s="46">
        <f>+AC363</f>
        <v>0</v>
      </c>
      <c r="P363" s="48"/>
    </row>
    <row r="364" spans="2:16" s="44" customFormat="1" ht="15">
      <c r="B364" s="363"/>
      <c r="C364" s="45">
        <v>664001</v>
      </c>
      <c r="D364" s="46" t="s">
        <v>236</v>
      </c>
      <c r="E364" s="46">
        <v>0</v>
      </c>
      <c r="F364" s="95">
        <f t="shared" si="33"/>
        <v>0</v>
      </c>
      <c r="G364" s="104"/>
      <c r="H364" s="46">
        <v>0</v>
      </c>
      <c r="I364" s="46"/>
      <c r="J364" s="46">
        <v>0</v>
      </c>
      <c r="K364" s="47"/>
      <c r="L364" s="47"/>
      <c r="M364" s="46">
        <f>+T364</f>
        <v>0</v>
      </c>
      <c r="N364" s="48"/>
      <c r="O364" s="46">
        <f>+AC364</f>
        <v>0</v>
      </c>
      <c r="P364" s="48"/>
    </row>
    <row r="365" spans="2:16" s="44" customFormat="1" ht="15">
      <c r="B365" s="363"/>
      <c r="C365" s="49"/>
      <c r="D365" s="47"/>
      <c r="E365" s="47"/>
      <c r="F365" s="85"/>
      <c r="G365" s="104"/>
      <c r="H365" s="47"/>
      <c r="I365" s="47"/>
      <c r="J365" s="47"/>
      <c r="K365" s="47"/>
      <c r="L365" s="47"/>
      <c r="M365" s="47"/>
      <c r="N365" s="48"/>
      <c r="O365" s="47"/>
      <c r="P365" s="48"/>
    </row>
    <row r="366" spans="2:16" customFormat="1" ht="32.25" thickBot="1">
      <c r="C366" s="23"/>
      <c r="D366" s="24"/>
      <c r="E366" s="25" t="s">
        <v>48</v>
      </c>
      <c r="F366" s="81" t="s">
        <v>49</v>
      </c>
      <c r="G366" s="101"/>
      <c r="H366" s="42" t="s">
        <v>50</v>
      </c>
      <c r="I366" s="165">
        <v>45930</v>
      </c>
      <c r="J366" s="25" t="s">
        <v>243</v>
      </c>
      <c r="K366" s="24"/>
      <c r="L366" s="24"/>
      <c r="M366" s="78" t="s">
        <v>241</v>
      </c>
      <c r="N366" s="79"/>
      <c r="O366" s="78" t="s">
        <v>244</v>
      </c>
      <c r="P366" s="19"/>
    </row>
    <row r="367" spans="2:16" customFormat="1" ht="16.5" thickBot="1">
      <c r="B367" s="27" t="s">
        <v>73</v>
      </c>
      <c r="C367" s="28"/>
      <c r="D367" s="29"/>
      <c r="E367" s="37">
        <v>389882</v>
      </c>
      <c r="F367" s="86">
        <v>252272.31833333327</v>
      </c>
      <c r="G367" s="102">
        <v>0.64704787174922995</v>
      </c>
      <c r="H367" s="43"/>
      <c r="I367" s="37">
        <v>244713.81</v>
      </c>
      <c r="J367" s="37">
        <v>452650</v>
      </c>
      <c r="K367" s="168">
        <v>-0.4713</v>
      </c>
      <c r="L367" s="33"/>
      <c r="M367" s="37">
        <v>470750</v>
      </c>
      <c r="N367" s="19"/>
      <c r="O367" s="37">
        <v>470750</v>
      </c>
      <c r="P367" s="19"/>
    </row>
    <row r="368" spans="2:16" customFormat="1" ht="15.75">
      <c r="C368" s="21" t="s">
        <v>695</v>
      </c>
      <c r="F368" s="97"/>
      <c r="G368" s="100"/>
      <c r="K368" s="20"/>
      <c r="L368" s="20"/>
    </row>
    <row r="369" spans="3:13" customFormat="1" ht="15.75">
      <c r="C369" s="21" t="s">
        <v>696</v>
      </c>
      <c r="F369" s="97"/>
      <c r="G369" s="100"/>
      <c r="K369" s="20"/>
      <c r="L369" s="20"/>
    </row>
    <row r="370" spans="3:13" customFormat="1" ht="15.75">
      <c r="C370" s="21" t="s">
        <v>697</v>
      </c>
      <c r="F370" s="97"/>
      <c r="G370" s="100"/>
      <c r="K370" s="20"/>
      <c r="L370" s="20"/>
    </row>
    <row r="371" spans="3:13" customFormat="1" ht="15.75">
      <c r="C371" s="21" t="s">
        <v>698</v>
      </c>
      <c r="F371" s="97"/>
      <c r="G371" s="100"/>
      <c r="K371" s="20"/>
      <c r="L371" s="20"/>
    </row>
    <row r="372" spans="3:13" customFormat="1" ht="15.75">
      <c r="C372" s="21" t="s">
        <v>699</v>
      </c>
      <c r="F372" s="97"/>
      <c r="G372" s="100"/>
      <c r="K372" s="20"/>
      <c r="L372" s="20"/>
    </row>
    <row r="373" spans="3:13">
      <c r="I373" s="211"/>
      <c r="J373" s="211">
        <v>880256.29</v>
      </c>
    </row>
    <row r="374" spans="3:13">
      <c r="D374" s="10">
        <v>601</v>
      </c>
      <c r="I374" s="211">
        <v>-13375.79</v>
      </c>
      <c r="J374" s="211"/>
      <c r="M374" s="211">
        <v>-13375.79</v>
      </c>
    </row>
    <row r="375" spans="3:13">
      <c r="D375" s="10">
        <v>61</v>
      </c>
      <c r="I375" s="211">
        <f>-I296</f>
        <v>-755739.85</v>
      </c>
      <c r="J375" s="211"/>
      <c r="M375" s="211">
        <f>-M296</f>
        <v>0</v>
      </c>
    </row>
    <row r="376" spans="3:13">
      <c r="D376" s="10">
        <v>62</v>
      </c>
      <c r="I376" s="211">
        <f>-I367</f>
        <v>-244713.81</v>
      </c>
      <c r="M376" s="211">
        <f>-M367</f>
        <v>-470750</v>
      </c>
    </row>
    <row r="377" spans="3:13">
      <c r="D377" s="10">
        <v>63</v>
      </c>
      <c r="I377" s="211">
        <f>-I300</f>
        <v>0</v>
      </c>
      <c r="M377" s="211">
        <f>-M300</f>
        <v>-40000</v>
      </c>
    </row>
    <row r="378" spans="3:13">
      <c r="D378" s="10">
        <v>635</v>
      </c>
      <c r="I378" s="211">
        <f>-I311</f>
        <v>0</v>
      </c>
      <c r="M378" s="211">
        <f>-M311</f>
        <v>0</v>
      </c>
    </row>
    <row r="379" spans="3:13">
      <c r="D379" s="10">
        <v>64</v>
      </c>
      <c r="I379" s="211">
        <f>-I332</f>
        <v>-96.09</v>
      </c>
      <c r="J379" s="211">
        <f>SUM(I374:I379)</f>
        <v>-1013925.5399999999</v>
      </c>
      <c r="M379" s="211">
        <f>-M332</f>
        <v>-2600</v>
      </c>
    </row>
    <row r="380" spans="3:13">
      <c r="J380" s="211">
        <f>+J373+J379</f>
        <v>-133669.24999999988</v>
      </c>
    </row>
  </sheetData>
  <mergeCells count="3">
    <mergeCell ref="D2:F2"/>
    <mergeCell ref="D3:F3"/>
    <mergeCell ref="K130:L130"/>
  </mergeCells>
  <hyperlinks>
    <hyperlink ref="D199" r:id="rId1" xr:uid="{6E431E1E-18CE-3840-BD8F-770C96B59C79}"/>
    <hyperlink ref="D200" r:id="rId2" xr:uid="{5CF8D1B9-AE63-FB41-A845-3B8FCE8D5822}"/>
  </hyperlinks>
  <pageMargins left="0.2" right="0.2" top="0.25" bottom="0.25" header="0.3" footer="0.3"/>
  <pageSetup paperSize="9" orientation="landscape" horizontalDpi="0" verticalDpi="0"/>
  <rowBreaks count="1" manualBreakCount="1">
    <brk id="309" max="16383" man="1"/>
  </row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E9ED-A34E-DB46-A818-F535111A6368}">
  <dimension ref="B1:M156"/>
  <sheetViews>
    <sheetView workbookViewId="0">
      <selection sqref="A1:XFD1048576"/>
    </sheetView>
  </sheetViews>
  <sheetFormatPr defaultColWidth="11.5" defaultRowHeight="15"/>
  <cols>
    <col min="1" max="1" width="1.125" style="44" customWidth="1"/>
    <col min="2" max="2" width="4" style="44" customWidth="1"/>
    <col min="3" max="3" width="7.125" style="109" bestFit="1" customWidth="1"/>
    <col min="4" max="4" width="38.375" style="44" customWidth="1"/>
    <col min="5" max="5" width="11.375" style="112" hidden="1" customWidth="1"/>
    <col min="6" max="6" width="6.875" style="44" hidden="1" customWidth="1"/>
    <col min="7" max="7" width="0.125" style="141" hidden="1" customWidth="1"/>
    <col min="8" max="8" width="13.125" style="44" customWidth="1"/>
    <col min="9" max="9" width="11.625" style="112" bestFit="1" customWidth="1"/>
    <col min="10" max="10" width="2.875" style="44" customWidth="1"/>
    <col min="11" max="11" width="11.625" style="112" bestFit="1" customWidth="1"/>
    <col min="12" max="12" width="3" style="44" customWidth="1"/>
    <col min="13" max="13" width="11.625" style="112" bestFit="1" customWidth="1"/>
    <col min="14" max="16384" width="11.5" style="44"/>
  </cols>
  <sheetData>
    <row r="1" spans="2:13">
      <c r="B1" s="363"/>
      <c r="C1" s="398"/>
      <c r="D1" s="363"/>
      <c r="E1" s="363"/>
      <c r="F1" s="111"/>
      <c r="G1" s="140"/>
      <c r="H1" s="363"/>
      <c r="J1" s="363"/>
      <c r="L1" s="363"/>
    </row>
    <row r="2" spans="2:13">
      <c r="B2" s="363"/>
      <c r="C2" s="398"/>
      <c r="D2" s="363"/>
      <c r="E2" s="113"/>
      <c r="F2" s="363"/>
      <c r="H2" s="363"/>
      <c r="I2" s="113"/>
      <c r="J2" s="363"/>
      <c r="K2" s="113"/>
      <c r="L2" s="363"/>
      <c r="M2" s="113"/>
    </row>
    <row r="4" spans="2:13">
      <c r="B4" s="363"/>
      <c r="C4" s="398"/>
      <c r="D4" s="114" t="str">
        <f>+'[1]Ventilation CLASSE 6'!D4</f>
        <v>Résultat 2024 &amp; BUDGET 2025</v>
      </c>
      <c r="F4" s="110" t="str">
        <f>+'[1]CPTE RESULTAT 2024 BUDGET 2025'!I2</f>
        <v>Mise à jour : 03/12/2024</v>
      </c>
      <c r="H4" s="363"/>
      <c r="J4" s="363"/>
      <c r="L4" s="363"/>
    </row>
    <row r="5" spans="2:13">
      <c r="B5" s="363"/>
      <c r="C5" s="398"/>
      <c r="D5" s="113" t="s">
        <v>700</v>
      </c>
      <c r="F5" s="363"/>
      <c r="H5" s="363"/>
      <c r="J5" s="363"/>
      <c r="L5" s="363"/>
    </row>
    <row r="6" spans="2:13" customFormat="1" ht="48" thickBot="1">
      <c r="C6" s="133"/>
      <c r="D6" s="31"/>
      <c r="E6" s="81" t="str">
        <f>+'[1]Ventilation CLASSE 6'!E6</f>
        <v>BUDGET 2024</v>
      </c>
      <c r="F6" s="139" t="str">
        <f>+'[1]Ventilation CLASSE 6'!F6</f>
        <v>Au 27/11/2024</v>
      </c>
      <c r="G6" s="142"/>
      <c r="H6" s="165">
        <v>45930</v>
      </c>
      <c r="I6" s="81" t="s">
        <v>243</v>
      </c>
      <c r="K6" s="81" t="s">
        <v>241</v>
      </c>
      <c r="L6" s="97"/>
      <c r="M6" s="81" t="s">
        <v>244</v>
      </c>
    </row>
    <row r="7" spans="2:13" customFormat="1" ht="16.5" thickBot="1">
      <c r="B7" s="27" t="s">
        <v>245</v>
      </c>
      <c r="C7" s="134"/>
      <c r="D7" s="135"/>
      <c r="E7" s="37">
        <f>SUM(E8:E9)</f>
        <v>5500</v>
      </c>
      <c r="F7" s="35">
        <f>SUM(F8:F9)</f>
        <v>560</v>
      </c>
      <c r="G7" s="106">
        <f>+F7/E7</f>
        <v>0.10181818181818182</v>
      </c>
      <c r="H7" s="37">
        <f>SUM(H8:H9)</f>
        <v>560</v>
      </c>
      <c r="I7" s="37">
        <f>SUM(I8:I9)</f>
        <v>5500</v>
      </c>
      <c r="K7" s="37">
        <f>SUM(K8:K9)</f>
        <v>5500</v>
      </c>
      <c r="M7" s="37">
        <f>SUM(M8:M9)</f>
        <v>5500</v>
      </c>
    </row>
    <row r="8" spans="2:13">
      <c r="B8" s="363"/>
      <c r="C8" s="115">
        <v>700000</v>
      </c>
      <c r="D8" s="4" t="s">
        <v>246</v>
      </c>
      <c r="E8" s="116">
        <v>5500</v>
      </c>
      <c r="F8" s="1">
        <f t="shared" ref="F8:F9" si="0">+H8</f>
        <v>560</v>
      </c>
      <c r="G8" s="143"/>
      <c r="H8" s="4">
        <v>560</v>
      </c>
      <c r="I8" s="116">
        <v>5500</v>
      </c>
      <c r="J8" s="363"/>
      <c r="K8" s="116">
        <v>5500</v>
      </c>
      <c r="L8" s="363"/>
      <c r="M8" s="116">
        <v>5500</v>
      </c>
    </row>
    <row r="9" spans="2:13">
      <c r="B9" s="363"/>
      <c r="C9" s="115">
        <v>700100</v>
      </c>
      <c r="D9" s="4" t="s">
        <v>247</v>
      </c>
      <c r="E9" s="116">
        <v>0</v>
      </c>
      <c r="F9" s="4">
        <f t="shared" si="0"/>
        <v>0</v>
      </c>
      <c r="G9" s="143"/>
      <c r="H9" s="4">
        <v>0</v>
      </c>
      <c r="I9" s="116">
        <v>0</v>
      </c>
      <c r="J9" s="363"/>
      <c r="K9" s="116">
        <v>0</v>
      </c>
      <c r="L9" s="363"/>
      <c r="M9" s="116">
        <v>0</v>
      </c>
    </row>
    <row r="10" spans="2:13">
      <c r="B10" s="363"/>
      <c r="C10" s="117"/>
      <c r="D10" s="5"/>
      <c r="E10" s="118"/>
      <c r="F10" s="5"/>
      <c r="G10" s="143"/>
      <c r="H10" s="5"/>
      <c r="I10" s="118"/>
      <c r="J10" s="363"/>
      <c r="K10" s="118"/>
      <c r="L10" s="363"/>
      <c r="M10" s="118"/>
    </row>
    <row r="11" spans="2:13" customFormat="1" ht="48" thickBot="1">
      <c r="C11" s="133"/>
      <c r="D11" s="31"/>
      <c r="E11" s="81" t="str">
        <f>+E$6</f>
        <v>BUDGET 2024</v>
      </c>
      <c r="F11" s="145" t="str">
        <f>F$6</f>
        <v>Au 27/11/2024</v>
      </c>
      <c r="G11" s="141"/>
      <c r="H11" s="165">
        <v>45930</v>
      </c>
      <c r="I11" s="81" t="str">
        <f>+I$6</f>
        <v>BUD 2025 base</v>
      </c>
      <c r="K11" s="81" t="str">
        <f>+K$6</f>
        <v>BUD 2025 Adeps A</v>
      </c>
      <c r="L11" s="97"/>
      <c r="M11" s="81" t="str">
        <f>+M$6</f>
        <v>BUD 2025 Adeps B</v>
      </c>
    </row>
    <row r="12" spans="2:13" customFormat="1" ht="16.5" thickBot="1">
      <c r="B12" s="27" t="s">
        <v>58</v>
      </c>
      <c r="C12" s="134"/>
      <c r="D12" s="135"/>
      <c r="E12" s="37">
        <f>SUM(E13:E21)</f>
        <v>67000</v>
      </c>
      <c r="F12" s="35">
        <f>SUM(F13:F21)</f>
        <v>22295</v>
      </c>
      <c r="G12" s="106">
        <f>+F12/E12</f>
        <v>0.33276119402985077</v>
      </c>
      <c r="H12" s="37">
        <f>SUM(H13:H21)</f>
        <v>22295</v>
      </c>
      <c r="I12" s="37">
        <f>SUM(I13:I21)</f>
        <v>67000</v>
      </c>
      <c r="K12" s="37">
        <f>SUM(K13:K21)</f>
        <v>67000</v>
      </c>
      <c r="M12" s="37">
        <f>SUM(M13:M21)</f>
        <v>67000</v>
      </c>
    </row>
    <row r="13" spans="2:13">
      <c r="B13" s="363"/>
      <c r="C13" s="115">
        <v>701000</v>
      </c>
      <c r="D13" s="4" t="s">
        <v>248</v>
      </c>
      <c r="E13" s="116">
        <v>15000</v>
      </c>
      <c r="F13" s="1">
        <f t="shared" ref="F13:F14" si="1">+H13</f>
        <v>13255</v>
      </c>
      <c r="G13" s="143"/>
      <c r="H13" s="1">
        <v>13255</v>
      </c>
      <c r="I13" s="116">
        <v>15000</v>
      </c>
      <c r="J13" s="363"/>
      <c r="K13" s="116">
        <v>15000</v>
      </c>
      <c r="L13" s="363"/>
      <c r="M13" s="116">
        <v>15000</v>
      </c>
    </row>
    <row r="14" spans="2:13">
      <c r="B14" s="363"/>
      <c r="C14" s="115">
        <v>701010</v>
      </c>
      <c r="D14" s="4" t="s">
        <v>249</v>
      </c>
      <c r="E14" s="116">
        <v>0</v>
      </c>
      <c r="F14" s="1">
        <f t="shared" si="1"/>
        <v>0</v>
      </c>
      <c r="G14" s="143"/>
      <c r="H14" s="1">
        <v>0</v>
      </c>
      <c r="I14" s="116">
        <v>0</v>
      </c>
      <c r="J14" s="363"/>
      <c r="K14" s="116">
        <v>0</v>
      </c>
      <c r="L14" s="363"/>
      <c r="M14" s="116">
        <v>0</v>
      </c>
    </row>
    <row r="15" spans="2:13">
      <c r="B15" s="363"/>
      <c r="C15" s="387">
        <v>701100</v>
      </c>
      <c r="D15" s="388" t="s">
        <v>250</v>
      </c>
      <c r="E15" s="119"/>
      <c r="F15" s="389"/>
      <c r="G15" s="144"/>
      <c r="H15" s="388"/>
      <c r="I15" s="119"/>
      <c r="J15" s="363"/>
      <c r="K15" s="119"/>
      <c r="L15" s="363"/>
      <c r="M15" s="119"/>
    </row>
    <row r="16" spans="2:13">
      <c r="B16" s="363"/>
      <c r="C16" s="390">
        <v>701100</v>
      </c>
      <c r="D16" s="391" t="s">
        <v>251</v>
      </c>
      <c r="E16" s="120"/>
      <c r="F16" s="392"/>
      <c r="G16" s="144"/>
      <c r="H16" s="391">
        <v>0</v>
      </c>
      <c r="I16" s="120"/>
      <c r="J16" s="363"/>
      <c r="K16" s="120"/>
      <c r="L16" s="363"/>
      <c r="M16" s="120"/>
    </row>
    <row r="17" spans="2:13">
      <c r="B17" s="363"/>
      <c r="C17" s="390">
        <v>701100</v>
      </c>
      <c r="D17" s="391" t="s">
        <v>252</v>
      </c>
      <c r="E17" s="120"/>
      <c r="F17" s="392"/>
      <c r="G17" s="144"/>
      <c r="H17" s="391">
        <v>0</v>
      </c>
      <c r="I17" s="120"/>
      <c r="J17" s="363"/>
      <c r="K17" s="120"/>
      <c r="L17" s="363"/>
      <c r="M17" s="120"/>
    </row>
    <row r="18" spans="2:13">
      <c r="B18" s="363"/>
      <c r="C18" s="121">
        <v>701100</v>
      </c>
      <c r="D18" s="3" t="s">
        <v>250</v>
      </c>
      <c r="E18" s="122">
        <v>25000</v>
      </c>
      <c r="F18" s="3">
        <f t="shared" ref="F18:F21" si="2">+H18</f>
        <v>9040</v>
      </c>
      <c r="G18" s="143"/>
      <c r="H18" s="3">
        <v>9040</v>
      </c>
      <c r="I18" s="122">
        <v>25000</v>
      </c>
      <c r="J18" s="363"/>
      <c r="K18" s="122">
        <v>25000</v>
      </c>
      <c r="L18" s="363"/>
      <c r="M18" s="122">
        <v>25000</v>
      </c>
    </row>
    <row r="19" spans="2:13">
      <c r="B19" s="363"/>
      <c r="C19" s="115">
        <v>701200</v>
      </c>
      <c r="D19" s="4" t="s">
        <v>253</v>
      </c>
      <c r="E19" s="116">
        <v>0</v>
      </c>
      <c r="F19" s="1">
        <f t="shared" si="2"/>
        <v>0</v>
      </c>
      <c r="G19" s="143"/>
      <c r="H19" s="1">
        <v>0</v>
      </c>
      <c r="I19" s="116">
        <v>0</v>
      </c>
      <c r="J19" s="363"/>
      <c r="K19" s="116">
        <v>0</v>
      </c>
      <c r="L19" s="363"/>
      <c r="M19" s="116">
        <v>0</v>
      </c>
    </row>
    <row r="20" spans="2:13">
      <c r="B20" s="363"/>
      <c r="C20" s="115">
        <v>701400</v>
      </c>
      <c r="D20" s="4" t="s">
        <v>254</v>
      </c>
      <c r="E20" s="116">
        <v>17000</v>
      </c>
      <c r="F20" s="1">
        <f t="shared" si="2"/>
        <v>0</v>
      </c>
      <c r="G20" s="143"/>
      <c r="H20" s="1">
        <v>0</v>
      </c>
      <c r="I20" s="116">
        <v>17000</v>
      </c>
      <c r="J20" s="363"/>
      <c r="K20" s="116">
        <v>17000</v>
      </c>
      <c r="L20" s="363"/>
      <c r="M20" s="116">
        <v>17000</v>
      </c>
    </row>
    <row r="21" spans="2:13">
      <c r="B21" s="363"/>
      <c r="C21" s="115">
        <v>701410</v>
      </c>
      <c r="D21" s="4" t="s">
        <v>255</v>
      </c>
      <c r="E21" s="116">
        <v>10000</v>
      </c>
      <c r="F21" s="4">
        <f t="shared" si="2"/>
        <v>0</v>
      </c>
      <c r="G21" s="143"/>
      <c r="H21" s="4">
        <v>0</v>
      </c>
      <c r="I21" s="116">
        <v>10000</v>
      </c>
      <c r="J21" s="363"/>
      <c r="K21" s="116">
        <v>10000</v>
      </c>
      <c r="L21" s="363"/>
      <c r="M21" s="116">
        <v>10000</v>
      </c>
    </row>
    <row r="22" spans="2:13">
      <c r="B22" s="363"/>
      <c r="C22" s="117"/>
      <c r="D22" s="5"/>
      <c r="E22" s="118"/>
      <c r="F22" s="5"/>
      <c r="G22" s="143"/>
      <c r="H22" s="5"/>
      <c r="I22" s="118"/>
      <c r="J22" s="363"/>
      <c r="K22" s="118"/>
      <c r="L22" s="363"/>
      <c r="M22" s="118"/>
    </row>
    <row r="23" spans="2:13" customFormat="1" ht="48" thickBot="1">
      <c r="C23" s="133"/>
      <c r="D23" s="31"/>
      <c r="E23" s="81" t="str">
        <f>+E$6</f>
        <v>BUDGET 2024</v>
      </c>
      <c r="F23" s="145" t="str">
        <f>F$6</f>
        <v>Au 27/11/2024</v>
      </c>
      <c r="G23" s="141"/>
      <c r="H23" s="165">
        <v>45930</v>
      </c>
      <c r="I23" s="81" t="str">
        <f>+I$6</f>
        <v>BUD 2025 base</v>
      </c>
      <c r="K23" s="81" t="str">
        <f>+K$6</f>
        <v>BUD 2025 Adeps A</v>
      </c>
      <c r="L23" s="97"/>
      <c r="M23" s="81" t="str">
        <f>+M$6</f>
        <v>BUD 2025 Adeps B</v>
      </c>
    </row>
    <row r="24" spans="2:13" customFormat="1" ht="16.5" thickBot="1">
      <c r="B24" s="27" t="s">
        <v>60</v>
      </c>
      <c r="C24" s="134"/>
      <c r="D24" s="135"/>
      <c r="E24" s="37">
        <f>SUM(E25:E26)</f>
        <v>5000</v>
      </c>
      <c r="F24" s="35">
        <f>SUM(F25:F26)</f>
        <v>2115</v>
      </c>
      <c r="G24" s="106">
        <f>+F24/E24</f>
        <v>0.42299999999999999</v>
      </c>
      <c r="H24" s="37">
        <f>SUM(H25:H26)</f>
        <v>2115</v>
      </c>
      <c r="I24" s="37">
        <f>SUM(I25:I26)</f>
        <v>5000</v>
      </c>
      <c r="K24" s="37">
        <f>SUM(K25:K26)</f>
        <v>5000</v>
      </c>
      <c r="M24" s="37">
        <f>SUM(M25:M26)</f>
        <v>5000</v>
      </c>
    </row>
    <row r="25" spans="2:13">
      <c r="B25" s="363"/>
      <c r="C25" s="123">
        <v>702000</v>
      </c>
      <c r="D25" s="1" t="s">
        <v>256</v>
      </c>
      <c r="E25" s="124">
        <v>2500</v>
      </c>
      <c r="F25" s="1">
        <f t="shared" ref="F25:F26" si="3">+H25</f>
        <v>2115</v>
      </c>
      <c r="G25" s="143"/>
      <c r="H25" s="4">
        <v>2115</v>
      </c>
      <c r="I25" s="124">
        <v>2500</v>
      </c>
      <c r="J25" s="363"/>
      <c r="K25" s="124">
        <v>2500</v>
      </c>
      <c r="L25" s="363"/>
      <c r="M25" s="124">
        <v>2500</v>
      </c>
    </row>
    <row r="26" spans="2:13">
      <c r="B26" s="363"/>
      <c r="C26" s="115">
        <v>702100</v>
      </c>
      <c r="D26" s="4" t="s">
        <v>257</v>
      </c>
      <c r="E26" s="116">
        <v>2500</v>
      </c>
      <c r="F26" s="4">
        <f t="shared" si="3"/>
        <v>0</v>
      </c>
      <c r="G26" s="143"/>
      <c r="H26" s="4">
        <v>0</v>
      </c>
      <c r="I26" s="116">
        <v>2500</v>
      </c>
      <c r="J26" s="363"/>
      <c r="K26" s="116">
        <v>2500</v>
      </c>
      <c r="L26" s="363"/>
      <c r="M26" s="116">
        <v>2500</v>
      </c>
    </row>
    <row r="27" spans="2:13">
      <c r="B27" s="363"/>
      <c r="C27" s="117"/>
      <c r="D27" s="5"/>
      <c r="E27" s="118"/>
      <c r="F27" s="5"/>
      <c r="G27" s="143"/>
      <c r="H27" s="5"/>
      <c r="I27" s="118"/>
      <c r="J27" s="363"/>
      <c r="K27" s="118"/>
      <c r="L27" s="363"/>
      <c r="M27" s="118"/>
    </row>
    <row r="28" spans="2:13" customFormat="1" ht="48" thickBot="1">
      <c r="C28" s="133"/>
      <c r="D28" s="31"/>
      <c r="E28" s="81" t="str">
        <f>+E$6</f>
        <v>BUDGET 2024</v>
      </c>
      <c r="F28" s="145" t="str">
        <f>F$6</f>
        <v>Au 27/11/2024</v>
      </c>
      <c r="G28" s="141"/>
      <c r="H28" s="165">
        <v>45930</v>
      </c>
      <c r="I28" s="81" t="str">
        <f>+I$6</f>
        <v>BUD 2025 base</v>
      </c>
      <c r="K28" s="81" t="str">
        <f>+K$6</f>
        <v>BUD 2025 Adeps A</v>
      </c>
      <c r="L28" s="97"/>
      <c r="M28" s="81" t="str">
        <f>+M$6</f>
        <v>BUD 2025 Adeps B</v>
      </c>
    </row>
    <row r="29" spans="2:13" customFormat="1" ht="16.5" thickBot="1">
      <c r="B29" s="27" t="s">
        <v>62</v>
      </c>
      <c r="C29" s="134"/>
      <c r="D29" s="135"/>
      <c r="E29" s="37">
        <f>SUM(E30:E32)</f>
        <v>6700</v>
      </c>
      <c r="F29" s="35">
        <f>SUM(F30:F32)</f>
        <v>4916.17</v>
      </c>
      <c r="G29" s="106">
        <f>+F29/E29</f>
        <v>0.7337567164179104</v>
      </c>
      <c r="H29" s="37">
        <f>SUM(H30:H32)</f>
        <v>4916.17</v>
      </c>
      <c r="I29" s="37">
        <f>SUM(I30:I32)</f>
        <v>6700</v>
      </c>
      <c r="K29" s="37">
        <f>SUM(K30:K32)</f>
        <v>6700</v>
      </c>
      <c r="M29" s="37">
        <f>SUM(M30:M32)</f>
        <v>6700</v>
      </c>
    </row>
    <row r="30" spans="2:13">
      <c r="B30" s="363"/>
      <c r="C30" s="123">
        <v>703000</v>
      </c>
      <c r="D30" s="1" t="s">
        <v>701</v>
      </c>
      <c r="E30" s="124">
        <v>2700</v>
      </c>
      <c r="F30" s="1">
        <f t="shared" ref="F30:F32" si="4">+H30</f>
        <v>4916.17</v>
      </c>
      <c r="G30" s="143"/>
      <c r="H30" s="1">
        <v>4916.17</v>
      </c>
      <c r="I30" s="124">
        <v>2700</v>
      </c>
      <c r="J30" s="363"/>
      <c r="K30" s="124">
        <v>2700</v>
      </c>
      <c r="L30" s="363"/>
      <c r="M30" s="124">
        <v>2700</v>
      </c>
    </row>
    <row r="31" spans="2:13">
      <c r="B31" s="363"/>
      <c r="C31" s="123">
        <v>703100</v>
      </c>
      <c r="D31" s="46" t="s">
        <v>123</v>
      </c>
      <c r="E31" s="124"/>
      <c r="F31" s="1">
        <f t="shared" si="4"/>
        <v>0</v>
      </c>
      <c r="G31" s="143"/>
      <c r="H31" s="1">
        <v>0</v>
      </c>
      <c r="I31" s="124"/>
      <c r="J31" s="363"/>
      <c r="K31" s="124"/>
      <c r="L31" s="363"/>
      <c r="M31" s="124"/>
    </row>
    <row r="32" spans="2:13">
      <c r="B32" s="363"/>
      <c r="C32" s="115">
        <v>703110</v>
      </c>
      <c r="D32" s="4" t="s">
        <v>259</v>
      </c>
      <c r="E32" s="116">
        <v>4000</v>
      </c>
      <c r="F32" s="4">
        <f t="shared" si="4"/>
        <v>0</v>
      </c>
      <c r="G32" s="143"/>
      <c r="H32" s="4">
        <v>0</v>
      </c>
      <c r="I32" s="116">
        <v>4000</v>
      </c>
      <c r="J32" s="363"/>
      <c r="K32" s="116">
        <v>4000</v>
      </c>
      <c r="L32" s="363"/>
      <c r="M32" s="116">
        <v>4000</v>
      </c>
    </row>
    <row r="33" spans="2:13">
      <c r="B33" s="363"/>
      <c r="C33" s="117"/>
      <c r="D33" s="5"/>
      <c r="E33" s="118"/>
      <c r="F33" s="5"/>
      <c r="G33" s="143"/>
      <c r="H33" s="5"/>
      <c r="I33" s="118"/>
      <c r="J33" s="363"/>
      <c r="K33" s="118"/>
      <c r="L33" s="363"/>
      <c r="M33" s="118"/>
    </row>
    <row r="34" spans="2:13" customFormat="1" ht="48" thickBot="1">
      <c r="C34" s="133"/>
      <c r="D34" s="31"/>
      <c r="E34" s="81" t="str">
        <f>+E$6</f>
        <v>BUDGET 2024</v>
      </c>
      <c r="F34" s="145" t="str">
        <f>F$6</f>
        <v>Au 27/11/2024</v>
      </c>
      <c r="G34" s="141"/>
      <c r="H34" s="165">
        <v>45930</v>
      </c>
      <c r="I34" s="81" t="str">
        <f>+I$6</f>
        <v>BUD 2025 base</v>
      </c>
      <c r="K34" s="81" t="str">
        <f>+K$6</f>
        <v>BUD 2025 Adeps A</v>
      </c>
      <c r="L34" s="97"/>
      <c r="M34" s="81" t="str">
        <f>+M$6</f>
        <v>BUD 2025 Adeps B</v>
      </c>
    </row>
    <row r="35" spans="2:13" customFormat="1" ht="16.5" thickBot="1">
      <c r="B35" s="27" t="s">
        <v>64</v>
      </c>
      <c r="C35" s="134"/>
      <c r="D35" s="135"/>
      <c r="E35" s="37">
        <f>SUM(E36:E43)</f>
        <v>26000</v>
      </c>
      <c r="F35" s="35">
        <f>SUM(F36:F43)</f>
        <v>56376.25</v>
      </c>
      <c r="G35" s="106">
        <f>+F35/E35</f>
        <v>2.1683173076923077</v>
      </c>
      <c r="H35" s="37">
        <f>SUM(H36:H43)</f>
        <v>56376.25</v>
      </c>
      <c r="I35" s="37">
        <f>SUM(I36:I43)</f>
        <v>70500</v>
      </c>
      <c r="K35" s="37">
        <f>SUM(K36:K43)</f>
        <v>70500</v>
      </c>
      <c r="M35" s="37">
        <f>SUM(M36:M43)</f>
        <v>70500</v>
      </c>
    </row>
    <row r="36" spans="2:13">
      <c r="B36" s="363"/>
      <c r="C36" s="123">
        <v>704000</v>
      </c>
      <c r="D36" s="1" t="s">
        <v>260</v>
      </c>
      <c r="E36" s="124">
        <v>0</v>
      </c>
      <c r="F36" s="1">
        <f t="shared" ref="F36:F43" si="5">+H36</f>
        <v>0</v>
      </c>
      <c r="G36" s="143"/>
      <c r="H36" s="1">
        <v>0</v>
      </c>
      <c r="I36" s="124">
        <v>0</v>
      </c>
      <c r="J36" s="363"/>
      <c r="K36" s="124">
        <v>0</v>
      </c>
      <c r="L36" s="363"/>
      <c r="M36" s="124">
        <v>0</v>
      </c>
    </row>
    <row r="37" spans="2:13">
      <c r="B37" s="363"/>
      <c r="C37" s="123">
        <v>704010</v>
      </c>
      <c r="D37" s="1" t="s">
        <v>261</v>
      </c>
      <c r="E37" s="124"/>
      <c r="F37" s="1">
        <f t="shared" si="5"/>
        <v>1076.25</v>
      </c>
      <c r="G37" s="143"/>
      <c r="H37" s="1">
        <v>1076.25</v>
      </c>
      <c r="I37" s="124"/>
      <c r="J37" s="363"/>
      <c r="K37" s="124"/>
      <c r="L37" s="363"/>
      <c r="M37" s="124"/>
    </row>
    <row r="38" spans="2:13">
      <c r="B38" s="363"/>
      <c r="C38" s="123">
        <v>704100</v>
      </c>
      <c r="D38" s="1" t="s">
        <v>262</v>
      </c>
      <c r="E38" s="124">
        <v>1000</v>
      </c>
      <c r="F38" s="1">
        <f t="shared" si="5"/>
        <v>500</v>
      </c>
      <c r="G38" s="143"/>
      <c r="H38" s="1">
        <v>500</v>
      </c>
      <c r="I38" s="124">
        <v>1000</v>
      </c>
      <c r="J38" s="363"/>
      <c r="K38" s="124">
        <v>1000</v>
      </c>
      <c r="L38" s="363"/>
      <c r="M38" s="124">
        <v>1000</v>
      </c>
    </row>
    <row r="39" spans="2:13">
      <c r="B39" s="363"/>
      <c r="C39" s="123">
        <v>704110</v>
      </c>
      <c r="D39" s="1" t="s">
        <v>263</v>
      </c>
      <c r="E39" s="124"/>
      <c r="F39" s="1">
        <f t="shared" si="5"/>
        <v>0</v>
      </c>
      <c r="G39" s="143"/>
      <c r="H39" s="1">
        <v>0</v>
      </c>
      <c r="I39" s="124">
        <v>4500</v>
      </c>
      <c r="J39" s="363"/>
      <c r="K39" s="124">
        <v>4500</v>
      </c>
      <c r="L39" s="363"/>
      <c r="M39" s="124">
        <v>4500</v>
      </c>
    </row>
    <row r="40" spans="2:13">
      <c r="B40" s="363"/>
      <c r="C40" s="123">
        <v>704200</v>
      </c>
      <c r="D40" s="1" t="s">
        <v>264</v>
      </c>
      <c r="E40" s="124">
        <v>0</v>
      </c>
      <c r="F40" s="1">
        <f t="shared" si="5"/>
        <v>0</v>
      </c>
      <c r="G40" s="143"/>
      <c r="H40" s="1">
        <v>0</v>
      </c>
      <c r="I40" s="124">
        <v>0</v>
      </c>
      <c r="J40" s="363"/>
      <c r="K40" s="124">
        <v>0</v>
      </c>
      <c r="L40" s="363"/>
      <c r="M40" s="124">
        <v>0</v>
      </c>
    </row>
    <row r="41" spans="2:13">
      <c r="B41" s="363"/>
      <c r="C41" s="123">
        <v>704300</v>
      </c>
      <c r="D41" s="46" t="s">
        <v>265</v>
      </c>
      <c r="E41" s="124">
        <v>0</v>
      </c>
      <c r="F41" s="1">
        <f t="shared" si="5"/>
        <v>0</v>
      </c>
      <c r="G41" s="143"/>
      <c r="H41" s="1">
        <v>0</v>
      </c>
      <c r="I41" s="124">
        <v>0</v>
      </c>
      <c r="J41" s="363"/>
      <c r="K41" s="124">
        <v>0</v>
      </c>
      <c r="L41" s="363"/>
      <c r="M41" s="124">
        <v>0</v>
      </c>
    </row>
    <row r="42" spans="2:13">
      <c r="B42" s="363"/>
      <c r="C42" s="115">
        <v>704310</v>
      </c>
      <c r="D42" s="4" t="s">
        <v>266</v>
      </c>
      <c r="E42" s="116">
        <v>25000</v>
      </c>
      <c r="F42" s="4">
        <f t="shared" si="5"/>
        <v>54800</v>
      </c>
      <c r="G42" s="143"/>
      <c r="H42" s="4">
        <v>54800</v>
      </c>
      <c r="I42" s="116">
        <v>65000</v>
      </c>
      <c r="J42" s="363"/>
      <c r="K42" s="116">
        <v>65000</v>
      </c>
      <c r="L42" s="363"/>
      <c r="M42" s="116">
        <v>65000</v>
      </c>
    </row>
    <row r="43" spans="2:13">
      <c r="B43" s="363"/>
      <c r="C43" s="117">
        <v>704320</v>
      </c>
      <c r="D43" s="4" t="s">
        <v>267</v>
      </c>
      <c r="E43" s="116">
        <v>0</v>
      </c>
      <c r="F43" s="4">
        <f t="shared" si="5"/>
        <v>0</v>
      </c>
      <c r="G43" s="143"/>
      <c r="H43" s="4">
        <v>0</v>
      </c>
      <c r="I43" s="116">
        <v>0</v>
      </c>
      <c r="J43" s="363"/>
      <c r="K43" s="116">
        <v>0</v>
      </c>
      <c r="L43" s="363"/>
      <c r="M43" s="116">
        <v>0</v>
      </c>
    </row>
    <row r="44" spans="2:13">
      <c r="B44" s="363"/>
      <c r="C44" s="117"/>
      <c r="D44" s="5"/>
      <c r="E44" s="118"/>
      <c r="F44" s="5"/>
      <c r="G44" s="143"/>
      <c r="H44" s="5"/>
      <c r="I44" s="118"/>
      <c r="J44" s="363"/>
      <c r="K44" s="118"/>
      <c r="L44" s="363"/>
      <c r="M44" s="118"/>
    </row>
    <row r="45" spans="2:13" customFormat="1" ht="48" thickBot="1">
      <c r="C45" s="133"/>
      <c r="D45" s="31"/>
      <c r="E45" s="81" t="str">
        <f>+E$6</f>
        <v>BUDGET 2024</v>
      </c>
      <c r="F45" s="145" t="str">
        <f>F$6</f>
        <v>Au 27/11/2024</v>
      </c>
      <c r="G45" s="141"/>
      <c r="H45" s="165">
        <v>45930</v>
      </c>
      <c r="I45" s="81" t="str">
        <f>+I$6</f>
        <v>BUD 2025 base</v>
      </c>
      <c r="K45" s="81" t="str">
        <f>+K$6</f>
        <v>BUD 2025 Adeps A</v>
      </c>
      <c r="L45" s="97"/>
      <c r="M45" s="81" t="str">
        <f>+M$6</f>
        <v>BUD 2025 Adeps B</v>
      </c>
    </row>
    <row r="46" spans="2:13" customFormat="1" ht="16.5" thickBot="1">
      <c r="B46" s="27" t="s">
        <v>66</v>
      </c>
      <c r="C46" s="134"/>
      <c r="D46" s="135"/>
      <c r="E46" s="37">
        <f>SUM(E47:E48)</f>
        <v>5000</v>
      </c>
      <c r="F46" s="35">
        <f>SUM(F47:F48)</f>
        <v>7500</v>
      </c>
      <c r="G46" s="106">
        <f>+F46/E46</f>
        <v>1.5</v>
      </c>
      <c r="H46" s="37">
        <f>SUM(H47:H48)</f>
        <v>7500</v>
      </c>
      <c r="I46" s="37">
        <f>SUM(I47:I48)</f>
        <v>5000</v>
      </c>
      <c r="K46" s="37">
        <f>SUM(K47:K48)</f>
        <v>5000</v>
      </c>
      <c r="M46" s="37">
        <f>SUM(M47:M48)</f>
        <v>5000</v>
      </c>
    </row>
    <row r="47" spans="2:13">
      <c r="B47" s="363"/>
      <c r="C47" s="123">
        <v>705000</v>
      </c>
      <c r="D47" s="1" t="s">
        <v>268</v>
      </c>
      <c r="E47" s="125">
        <v>5000</v>
      </c>
      <c r="F47" s="1">
        <f t="shared" ref="F47:F48" si="6">+H47</f>
        <v>7500</v>
      </c>
      <c r="G47" s="143"/>
      <c r="H47" s="1">
        <v>7500</v>
      </c>
      <c r="I47" s="125">
        <v>5000</v>
      </c>
      <c r="J47" s="363"/>
      <c r="K47" s="125">
        <v>5000</v>
      </c>
      <c r="L47" s="363"/>
      <c r="M47" s="125">
        <v>5000</v>
      </c>
    </row>
    <row r="48" spans="2:13">
      <c r="B48" s="363"/>
      <c r="C48" s="115">
        <v>705100</v>
      </c>
      <c r="D48" s="4" t="s">
        <v>269</v>
      </c>
      <c r="E48" s="116">
        <v>0</v>
      </c>
      <c r="F48" s="4">
        <f t="shared" si="6"/>
        <v>0</v>
      </c>
      <c r="G48" s="143"/>
      <c r="H48" s="4">
        <v>0</v>
      </c>
      <c r="I48" s="116">
        <v>0</v>
      </c>
      <c r="J48" s="363"/>
      <c r="K48" s="116">
        <v>0</v>
      </c>
      <c r="L48" s="363"/>
      <c r="M48" s="116">
        <v>0</v>
      </c>
    </row>
    <row r="49" spans="2:13">
      <c r="B49" s="363"/>
      <c r="C49" s="117"/>
      <c r="D49" s="5"/>
      <c r="E49" s="118"/>
      <c r="F49" s="5"/>
      <c r="G49" s="143"/>
      <c r="H49" s="5"/>
      <c r="I49" s="118"/>
      <c r="J49" s="363"/>
      <c r="K49" s="118"/>
      <c r="L49" s="363"/>
      <c r="M49" s="118"/>
    </row>
    <row r="50" spans="2:13" customFormat="1" ht="48" thickBot="1">
      <c r="C50" s="133"/>
      <c r="D50" s="31">
        <f>12749.3-12614.3</f>
        <v>135</v>
      </c>
      <c r="E50" s="81" t="str">
        <f>+E$6</f>
        <v>BUDGET 2024</v>
      </c>
      <c r="F50" s="145" t="str">
        <f>F$6</f>
        <v>Au 27/11/2024</v>
      </c>
      <c r="G50" s="141"/>
      <c r="H50" s="165">
        <v>45930</v>
      </c>
      <c r="I50" s="81" t="str">
        <f>+I$6</f>
        <v>BUD 2025 base</v>
      </c>
      <c r="K50" s="81" t="str">
        <f>+K$6</f>
        <v>BUD 2025 Adeps A</v>
      </c>
      <c r="L50" s="97"/>
      <c r="M50" s="81" t="str">
        <f>+M$6</f>
        <v>BUD 2025 Adeps B</v>
      </c>
    </row>
    <row r="51" spans="2:13" customFormat="1" ht="16.5" thickBot="1">
      <c r="B51" s="27" t="s">
        <v>68</v>
      </c>
      <c r="C51" s="134"/>
      <c r="D51" s="135"/>
      <c r="E51" s="37">
        <f>SUM(E52:E57)</f>
        <v>13000</v>
      </c>
      <c r="F51" s="35">
        <f>SUM(F52:F57)</f>
        <v>15566.67</v>
      </c>
      <c r="G51" s="106">
        <f>+F51/E51</f>
        <v>1.1974361538461538</v>
      </c>
      <c r="H51" s="37">
        <f>SUM(H52:H57)</f>
        <v>15566.67</v>
      </c>
      <c r="I51" s="37">
        <f>SUM(I52:I57)</f>
        <v>13000</v>
      </c>
      <c r="K51" s="37">
        <f>SUM(K52:K57)</f>
        <v>13000</v>
      </c>
      <c r="M51" s="37">
        <f>SUM(M52:M57)</f>
        <v>13000</v>
      </c>
    </row>
    <row r="52" spans="2:13">
      <c r="B52" s="363"/>
      <c r="C52" s="123">
        <v>706000</v>
      </c>
      <c r="D52" s="1" t="s">
        <v>518</v>
      </c>
      <c r="E52" s="124">
        <v>0</v>
      </c>
      <c r="F52" s="1">
        <f t="shared" ref="F52:F57" si="7">+H52</f>
        <v>0</v>
      </c>
      <c r="G52" s="143"/>
      <c r="H52" s="1">
        <v>0</v>
      </c>
      <c r="I52" s="124">
        <v>0</v>
      </c>
      <c r="J52" s="363"/>
      <c r="K52" s="124">
        <v>0</v>
      </c>
      <c r="L52" s="363"/>
      <c r="M52" s="124">
        <v>0</v>
      </c>
    </row>
    <row r="53" spans="2:13">
      <c r="B53" s="363"/>
      <c r="C53" s="123">
        <v>706100</v>
      </c>
      <c r="D53" s="1" t="s">
        <v>702</v>
      </c>
      <c r="E53" s="124">
        <v>0</v>
      </c>
      <c r="F53" s="1">
        <f t="shared" si="7"/>
        <v>0</v>
      </c>
      <c r="G53" s="143"/>
      <c r="H53" s="1">
        <v>0</v>
      </c>
      <c r="I53" s="124">
        <v>0</v>
      </c>
      <c r="J53" s="363"/>
      <c r="K53" s="124">
        <v>0</v>
      </c>
      <c r="L53" s="363"/>
      <c r="M53" s="124">
        <v>0</v>
      </c>
    </row>
    <row r="54" spans="2:13">
      <c r="B54" s="363"/>
      <c r="C54" s="123">
        <v>706200</v>
      </c>
      <c r="D54" s="1" t="s">
        <v>271</v>
      </c>
      <c r="E54" s="124">
        <v>13000</v>
      </c>
      <c r="F54" s="1">
        <f t="shared" si="7"/>
        <v>14010</v>
      </c>
      <c r="G54" s="143"/>
      <c r="H54" s="1">
        <v>14010</v>
      </c>
      <c r="I54" s="124">
        <v>13000</v>
      </c>
      <c r="J54" s="363"/>
      <c r="K54" s="124">
        <v>13000</v>
      </c>
      <c r="L54" s="363"/>
      <c r="M54" s="124">
        <v>13000</v>
      </c>
    </row>
    <row r="55" spans="2:13">
      <c r="B55" s="363"/>
      <c r="C55" s="123">
        <v>706300</v>
      </c>
      <c r="D55" s="1" t="s">
        <v>703</v>
      </c>
      <c r="E55" s="124">
        <v>0</v>
      </c>
      <c r="F55" s="1">
        <f t="shared" si="7"/>
        <v>0</v>
      </c>
      <c r="G55" s="143"/>
      <c r="H55" s="1">
        <v>0</v>
      </c>
      <c r="I55" s="124">
        <v>0</v>
      </c>
      <c r="J55" s="363"/>
      <c r="K55" s="124">
        <v>0</v>
      </c>
      <c r="L55" s="363"/>
      <c r="M55" s="124">
        <v>0</v>
      </c>
    </row>
    <row r="56" spans="2:13">
      <c r="B56" s="363"/>
      <c r="C56" s="123">
        <v>706400</v>
      </c>
      <c r="D56" s="1" t="s">
        <v>704</v>
      </c>
      <c r="E56" s="124">
        <v>0</v>
      </c>
      <c r="F56" s="1">
        <f t="shared" si="7"/>
        <v>80</v>
      </c>
      <c r="G56" s="143"/>
      <c r="H56" s="1">
        <v>80</v>
      </c>
      <c r="I56" s="124">
        <v>0</v>
      </c>
      <c r="J56" s="363"/>
      <c r="K56" s="124">
        <v>0</v>
      </c>
      <c r="L56" s="363"/>
      <c r="M56" s="124">
        <v>0</v>
      </c>
    </row>
    <row r="57" spans="2:13">
      <c r="B57" s="363"/>
      <c r="C57" s="115">
        <v>706500</v>
      </c>
      <c r="D57" s="4" t="s">
        <v>272</v>
      </c>
      <c r="E57" s="116">
        <v>0</v>
      </c>
      <c r="F57" s="4">
        <f t="shared" si="7"/>
        <v>1476.67</v>
      </c>
      <c r="G57" s="143"/>
      <c r="H57" s="4">
        <v>1476.67</v>
      </c>
      <c r="I57" s="116">
        <v>0</v>
      </c>
      <c r="J57" s="363"/>
      <c r="K57" s="116">
        <v>0</v>
      </c>
      <c r="L57" s="363"/>
      <c r="M57" s="116">
        <v>0</v>
      </c>
    </row>
    <row r="58" spans="2:13">
      <c r="B58" s="363"/>
      <c r="C58" s="117"/>
      <c r="D58" s="5"/>
      <c r="E58" s="118"/>
      <c r="F58" s="5"/>
      <c r="G58" s="143"/>
      <c r="H58" s="5"/>
      <c r="I58" s="118"/>
      <c r="J58" s="363"/>
      <c r="K58" s="118"/>
      <c r="L58" s="363"/>
      <c r="M58" s="118"/>
    </row>
    <row r="59" spans="2:13" s="10" customFormat="1" ht="21">
      <c r="B59" s="215">
        <v>70</v>
      </c>
      <c r="C59" s="212" t="s">
        <v>273</v>
      </c>
      <c r="D59" s="209"/>
      <c r="E59" s="213"/>
      <c r="F59" s="209"/>
      <c r="G59" s="206"/>
      <c r="H59" s="209">
        <f>+H51+H46+H35+H29+H24+H12+H7</f>
        <v>109329.09</v>
      </c>
      <c r="I59" s="213"/>
      <c r="K59" s="213"/>
      <c r="M59" s="213"/>
    </row>
    <row r="60" spans="2:13">
      <c r="B60" s="363"/>
      <c r="C60" s="117"/>
      <c r="D60" s="5"/>
      <c r="E60" s="118"/>
      <c r="F60" s="5"/>
      <c r="G60" s="143"/>
      <c r="H60" s="5"/>
      <c r="I60" s="118"/>
      <c r="J60" s="363"/>
      <c r="K60" s="118"/>
      <c r="L60" s="363"/>
      <c r="M60" s="118"/>
    </row>
    <row r="61" spans="2:13" customFormat="1" ht="32.1" customHeight="1" thickBot="1">
      <c r="C61" s="133"/>
      <c r="D61" s="31"/>
      <c r="E61" s="81" t="str">
        <f>+E$6</f>
        <v>BUDGET 2024</v>
      </c>
      <c r="F61" s="145" t="str">
        <f>F$6</f>
        <v>Au 27/11/2024</v>
      </c>
      <c r="G61" s="141"/>
      <c r="H61" s="165">
        <v>45930</v>
      </c>
      <c r="I61" s="81" t="str">
        <f>+I$6</f>
        <v>BUD 2025 base</v>
      </c>
      <c r="K61" s="81" t="str">
        <f>+K$6</f>
        <v>BUD 2025 Adeps A</v>
      </c>
      <c r="L61" s="97"/>
      <c r="M61" s="81" t="str">
        <f>+M$6</f>
        <v>BUD 2025 Adeps B</v>
      </c>
    </row>
    <row r="62" spans="2:13" customFormat="1" ht="16.5" thickBot="1">
      <c r="B62" s="27" t="s">
        <v>70</v>
      </c>
      <c r="C62" s="136"/>
      <c r="D62" s="137"/>
      <c r="E62" s="38">
        <f>SUM(E65:E117)</f>
        <v>1038899.56</v>
      </c>
      <c r="F62" s="30">
        <f>F65+SUM(F76:F117)</f>
        <v>696927.2</v>
      </c>
      <c r="G62" s="106">
        <f>+F62/E62</f>
        <v>0.67083212548477733</v>
      </c>
      <c r="H62" s="38">
        <f>+H65+H76+SUM(H77:H105)</f>
        <v>687419.29</v>
      </c>
      <c r="I62" s="38">
        <f>SUM(I65:I117)</f>
        <v>1191760</v>
      </c>
      <c r="K62" s="38">
        <f>SUM(K65:K117)</f>
        <v>1291760</v>
      </c>
      <c r="M62" s="38">
        <f>SUM(M65:M117)</f>
        <v>1241760</v>
      </c>
    </row>
    <row r="63" spans="2:13">
      <c r="B63" s="363"/>
      <c r="C63" s="387">
        <v>730000</v>
      </c>
      <c r="D63" s="388" t="s">
        <v>705</v>
      </c>
      <c r="E63" s="119"/>
      <c r="F63" s="389"/>
      <c r="G63" s="396"/>
      <c r="H63" s="388">
        <v>0</v>
      </c>
      <c r="I63" s="119"/>
      <c r="J63" s="363"/>
      <c r="K63" s="119"/>
      <c r="L63" s="363"/>
      <c r="M63" s="119"/>
    </row>
    <row r="64" spans="2:13">
      <c r="B64" s="363"/>
      <c r="C64" s="390">
        <v>730000</v>
      </c>
      <c r="D64" s="391" t="s">
        <v>706</v>
      </c>
      <c r="E64" s="120"/>
      <c r="F64" s="392"/>
      <c r="G64" s="396"/>
      <c r="H64" s="391">
        <v>0</v>
      </c>
      <c r="I64" s="120"/>
      <c r="J64" s="363"/>
      <c r="K64" s="120"/>
      <c r="L64" s="363"/>
      <c r="M64" s="120"/>
    </row>
    <row r="65" spans="3:13">
      <c r="C65" s="121">
        <v>730000</v>
      </c>
      <c r="D65" s="3" t="s">
        <v>707</v>
      </c>
      <c r="E65" s="122">
        <v>17000</v>
      </c>
      <c r="F65" s="3">
        <f t="shared" ref="F65:F66" si="8">+H65</f>
        <v>0</v>
      </c>
      <c r="G65" s="47"/>
      <c r="H65" s="3">
        <v>0</v>
      </c>
      <c r="I65" s="122">
        <v>17000</v>
      </c>
      <c r="J65" s="363"/>
      <c r="K65" s="122">
        <v>17000</v>
      </c>
      <c r="L65" s="363"/>
      <c r="M65" s="122">
        <v>17000</v>
      </c>
    </row>
    <row r="66" spans="3:13">
      <c r="C66" s="393">
        <v>731000</v>
      </c>
      <c r="D66" s="392" t="s">
        <v>708</v>
      </c>
      <c r="E66" s="120"/>
      <c r="F66" s="392">
        <f t="shared" si="8"/>
        <v>0</v>
      </c>
      <c r="G66" s="396"/>
      <c r="H66" s="392">
        <v>0</v>
      </c>
      <c r="I66" s="120"/>
      <c r="J66" s="363"/>
      <c r="K66" s="120"/>
      <c r="L66" s="363"/>
      <c r="M66" s="120"/>
    </row>
    <row r="67" spans="3:13">
      <c r="C67" s="393">
        <v>731000</v>
      </c>
      <c r="D67" s="392" t="s">
        <v>709</v>
      </c>
      <c r="E67" s="120"/>
      <c r="F67" s="392"/>
      <c r="G67" s="396"/>
      <c r="H67" s="392">
        <v>0</v>
      </c>
      <c r="I67" s="120"/>
      <c r="J67" s="363"/>
      <c r="K67" s="120"/>
      <c r="L67" s="363"/>
      <c r="M67" s="120"/>
    </row>
    <row r="68" spans="3:13">
      <c r="C68" s="393">
        <v>731010</v>
      </c>
      <c r="D68" s="391" t="s">
        <v>710</v>
      </c>
      <c r="E68" s="120"/>
      <c r="F68" s="392"/>
      <c r="G68" s="396"/>
      <c r="H68" s="392">
        <v>9865</v>
      </c>
      <c r="I68" s="120"/>
      <c r="J68" s="363"/>
      <c r="K68" s="120"/>
      <c r="L68" s="363"/>
      <c r="M68" s="120"/>
    </row>
    <row r="69" spans="3:13">
      <c r="C69" s="393">
        <v>731011</v>
      </c>
      <c r="D69" s="391" t="s">
        <v>711</v>
      </c>
      <c r="E69" s="120"/>
      <c r="F69" s="392"/>
      <c r="G69" s="396"/>
      <c r="H69" s="392">
        <v>14619</v>
      </c>
      <c r="I69" s="120"/>
      <c r="J69" s="363"/>
      <c r="K69" s="120"/>
      <c r="L69" s="363"/>
      <c r="M69" s="120"/>
    </row>
    <row r="70" spans="3:13">
      <c r="C70" s="393">
        <v>731012</v>
      </c>
      <c r="D70" s="391" t="s">
        <v>712</v>
      </c>
      <c r="E70" s="120"/>
      <c r="F70" s="392"/>
      <c r="G70" s="396"/>
      <c r="H70" s="392">
        <v>1065</v>
      </c>
      <c r="I70" s="120"/>
      <c r="J70" s="363"/>
      <c r="K70" s="120"/>
      <c r="L70" s="363"/>
      <c r="M70" s="120"/>
    </row>
    <row r="71" spans="3:13">
      <c r="C71" s="393">
        <v>731013</v>
      </c>
      <c r="D71" s="391" t="s">
        <v>713</v>
      </c>
      <c r="E71" s="120"/>
      <c r="F71" s="392"/>
      <c r="G71" s="396"/>
      <c r="H71" s="392">
        <v>600</v>
      </c>
      <c r="I71" s="120"/>
      <c r="J71" s="363"/>
      <c r="K71" s="120"/>
      <c r="L71" s="363"/>
      <c r="M71" s="120"/>
    </row>
    <row r="72" spans="3:13">
      <c r="C72" s="393">
        <v>731014</v>
      </c>
      <c r="D72" s="391" t="s">
        <v>714</v>
      </c>
      <c r="E72" s="120"/>
      <c r="F72" s="392"/>
      <c r="G72" s="396"/>
      <c r="H72" s="392">
        <v>1518</v>
      </c>
      <c r="I72" s="120"/>
      <c r="J72" s="363"/>
      <c r="K72" s="120"/>
      <c r="L72" s="363"/>
      <c r="M72" s="120"/>
    </row>
    <row r="73" spans="3:13">
      <c r="C73" s="393">
        <v>731015</v>
      </c>
      <c r="D73" s="391" t="s">
        <v>715</v>
      </c>
      <c r="E73" s="120"/>
      <c r="F73" s="392"/>
      <c r="G73" s="396"/>
      <c r="H73" s="392">
        <v>4115</v>
      </c>
      <c r="I73" s="120"/>
      <c r="J73" s="363"/>
      <c r="K73" s="120"/>
      <c r="L73" s="363"/>
      <c r="M73" s="120"/>
    </row>
    <row r="74" spans="3:13">
      <c r="C74" s="393">
        <v>731016</v>
      </c>
      <c r="D74" s="391" t="s">
        <v>281</v>
      </c>
      <c r="E74" s="120"/>
      <c r="F74" s="392"/>
      <c r="G74" s="396"/>
      <c r="H74" s="392">
        <v>0</v>
      </c>
      <c r="I74" s="120"/>
      <c r="J74" s="363"/>
      <c r="K74" s="120"/>
      <c r="L74" s="363"/>
      <c r="M74" s="120"/>
    </row>
    <row r="75" spans="3:13">
      <c r="C75" s="393">
        <v>731017</v>
      </c>
      <c r="D75" s="391" t="s">
        <v>716</v>
      </c>
      <c r="E75" s="120">
        <v>575000</v>
      </c>
      <c r="F75" s="392"/>
      <c r="G75" s="396"/>
      <c r="H75" s="392">
        <v>30</v>
      </c>
      <c r="I75" s="120"/>
      <c r="J75" s="363"/>
      <c r="K75" s="120">
        <v>575000</v>
      </c>
      <c r="L75" s="363"/>
      <c r="M75" s="120">
        <v>575000</v>
      </c>
    </row>
    <row r="76" spans="3:13">
      <c r="C76" s="126" t="s">
        <v>284</v>
      </c>
      <c r="D76" s="3" t="s">
        <v>285</v>
      </c>
      <c r="E76" s="52"/>
      <c r="F76" s="3">
        <f t="shared" ref="F76:F117" si="9">+H76</f>
        <v>31812</v>
      </c>
      <c r="G76" s="47"/>
      <c r="H76" s="3">
        <f>SUM(H66:H75)</f>
        <v>31812</v>
      </c>
      <c r="I76" s="52">
        <v>575000</v>
      </c>
      <c r="J76" s="363"/>
      <c r="K76" s="52"/>
      <c r="L76" s="363"/>
      <c r="M76" s="52"/>
    </row>
    <row r="77" spans="3:13">
      <c r="C77" s="123">
        <v>731010</v>
      </c>
      <c r="D77" s="1" t="s">
        <v>286</v>
      </c>
      <c r="E77" s="127"/>
      <c r="F77" s="2">
        <f t="shared" si="9"/>
        <v>270000</v>
      </c>
      <c r="G77" s="47"/>
      <c r="H77" s="1">
        <v>270000</v>
      </c>
      <c r="I77" s="127"/>
      <c r="J77" s="363"/>
      <c r="K77" s="127"/>
      <c r="L77" s="363"/>
      <c r="M77" s="127"/>
    </row>
    <row r="78" spans="3:13">
      <c r="C78" s="123">
        <v>737000</v>
      </c>
      <c r="D78" s="1" t="s">
        <v>287</v>
      </c>
      <c r="E78" s="429">
        <v>204022.31</v>
      </c>
      <c r="F78" s="1">
        <f t="shared" si="9"/>
        <v>152000</v>
      </c>
      <c r="G78" s="47"/>
      <c r="H78" s="1">
        <v>152000</v>
      </c>
      <c r="I78" s="429">
        <v>195000</v>
      </c>
      <c r="J78" s="363"/>
      <c r="K78" s="429">
        <v>195000</v>
      </c>
      <c r="L78" s="363"/>
      <c r="M78" s="429">
        <v>195000</v>
      </c>
    </row>
    <row r="79" spans="3:13">
      <c r="C79" s="123">
        <v>737010</v>
      </c>
      <c r="D79" s="1" t="s">
        <v>318</v>
      </c>
      <c r="E79" s="430"/>
      <c r="F79" s="1">
        <f t="shared" si="9"/>
        <v>4507.03</v>
      </c>
      <c r="G79" s="47"/>
      <c r="H79" s="1">
        <v>4507.03</v>
      </c>
      <c r="I79" s="431"/>
      <c r="J79" s="363"/>
      <c r="K79" s="431"/>
      <c r="L79" s="363"/>
      <c r="M79" s="431"/>
    </row>
    <row r="80" spans="3:13">
      <c r="C80" s="123">
        <v>737100</v>
      </c>
      <c r="D80" s="1" t="s">
        <v>319</v>
      </c>
      <c r="E80" s="432">
        <v>150000</v>
      </c>
      <c r="F80" s="1">
        <f t="shared" si="9"/>
        <v>0</v>
      </c>
      <c r="G80" s="47"/>
      <c r="H80" s="1">
        <v>0</v>
      </c>
      <c r="I80" s="432">
        <v>150000</v>
      </c>
      <c r="J80" s="363"/>
      <c r="K80" s="432">
        <v>250000</v>
      </c>
      <c r="L80" s="363"/>
      <c r="M80" s="432">
        <v>200000</v>
      </c>
    </row>
    <row r="81" spans="3:13">
      <c r="C81" s="123">
        <v>737110</v>
      </c>
      <c r="D81" s="46" t="s">
        <v>320</v>
      </c>
      <c r="E81" s="417"/>
      <c r="F81" s="1">
        <f t="shared" si="9"/>
        <v>-1977.51</v>
      </c>
      <c r="G81" s="47"/>
      <c r="H81" s="1">
        <v>-1977.51</v>
      </c>
      <c r="I81" s="417"/>
      <c r="J81" s="363"/>
      <c r="K81" s="417"/>
      <c r="L81" s="363"/>
      <c r="M81" s="417"/>
    </row>
    <row r="82" spans="3:13">
      <c r="C82" s="123">
        <v>737200</v>
      </c>
      <c r="D82" s="62" t="s">
        <v>717</v>
      </c>
      <c r="E82" s="417"/>
      <c r="F82" s="1">
        <f t="shared" si="9"/>
        <v>122400</v>
      </c>
      <c r="G82" s="47"/>
      <c r="H82" s="1">
        <v>122400</v>
      </c>
      <c r="I82" s="417"/>
      <c r="J82" s="363"/>
      <c r="K82" s="417"/>
      <c r="L82" s="363"/>
      <c r="M82" s="417"/>
    </row>
    <row r="83" spans="3:13">
      <c r="C83" s="123">
        <v>737210</v>
      </c>
      <c r="D83" s="46" t="s">
        <v>718</v>
      </c>
      <c r="E83" s="417"/>
      <c r="F83" s="1">
        <f t="shared" si="9"/>
        <v>20000</v>
      </c>
      <c r="G83" s="47"/>
      <c r="H83" s="1">
        <v>20000</v>
      </c>
      <c r="I83" s="417"/>
      <c r="J83" s="363"/>
      <c r="K83" s="417"/>
      <c r="L83" s="363"/>
      <c r="M83" s="417"/>
    </row>
    <row r="84" spans="3:13">
      <c r="C84" s="123">
        <v>737220</v>
      </c>
      <c r="D84" s="1" t="s">
        <v>321</v>
      </c>
      <c r="E84" s="433"/>
      <c r="F84" s="1">
        <f t="shared" si="9"/>
        <v>0</v>
      </c>
      <c r="G84" s="47"/>
      <c r="H84" s="1">
        <v>0</v>
      </c>
      <c r="I84" s="433"/>
      <c r="J84" s="363"/>
      <c r="K84" s="433"/>
      <c r="L84" s="363"/>
      <c r="M84" s="433"/>
    </row>
    <row r="85" spans="3:13">
      <c r="C85" s="123">
        <v>737230</v>
      </c>
      <c r="D85" s="1" t="s">
        <v>322</v>
      </c>
      <c r="E85" s="128">
        <v>37500</v>
      </c>
      <c r="F85" s="1">
        <f t="shared" si="9"/>
        <v>0</v>
      </c>
      <c r="G85" s="47"/>
      <c r="H85" s="1">
        <v>0</v>
      </c>
      <c r="I85" s="128">
        <v>37500</v>
      </c>
      <c r="J85" s="363"/>
      <c r="K85" s="128">
        <v>37500</v>
      </c>
      <c r="L85" s="363"/>
      <c r="M85" s="128">
        <v>37500</v>
      </c>
    </row>
    <row r="86" spans="3:13">
      <c r="C86" s="123">
        <v>737300</v>
      </c>
      <c r="D86" s="1" t="s">
        <v>290</v>
      </c>
      <c r="E86" s="429">
        <v>31747.25</v>
      </c>
      <c r="F86" s="1">
        <f t="shared" si="9"/>
        <v>1351.23</v>
      </c>
      <c r="G86" s="47"/>
      <c r="H86" s="1">
        <v>1351.23</v>
      </c>
      <c r="I86" s="432">
        <v>50000</v>
      </c>
      <c r="J86" s="363"/>
      <c r="K86" s="429">
        <v>50000</v>
      </c>
      <c r="L86" s="363"/>
      <c r="M86" s="429">
        <v>50000</v>
      </c>
    </row>
    <row r="87" spans="3:13">
      <c r="C87" s="123">
        <v>737310</v>
      </c>
      <c r="D87" s="1" t="s">
        <v>323</v>
      </c>
      <c r="E87" s="430"/>
      <c r="F87" s="1">
        <f t="shared" si="9"/>
        <v>68592.539999999994</v>
      </c>
      <c r="G87" s="47"/>
      <c r="H87" s="1">
        <v>68592.539999999994</v>
      </c>
      <c r="I87" s="417"/>
      <c r="J87" s="363"/>
      <c r="K87" s="430"/>
      <c r="L87" s="363"/>
      <c r="M87" s="430"/>
    </row>
    <row r="88" spans="3:13">
      <c r="C88" s="123">
        <v>737311</v>
      </c>
      <c r="D88" s="1" t="s">
        <v>324</v>
      </c>
      <c r="E88" s="431"/>
      <c r="F88" s="1">
        <f t="shared" si="9"/>
        <v>0</v>
      </c>
      <c r="G88" s="47"/>
      <c r="H88" s="1">
        <v>0</v>
      </c>
      <c r="I88" s="433"/>
      <c r="J88" s="363"/>
      <c r="K88" s="431"/>
      <c r="L88" s="363"/>
      <c r="M88" s="431"/>
    </row>
    <row r="89" spans="3:13">
      <c r="C89" s="123">
        <v>737400</v>
      </c>
      <c r="D89" s="1" t="s">
        <v>325</v>
      </c>
      <c r="E89" s="170"/>
      <c r="F89" s="1">
        <f t="shared" si="9"/>
        <v>9367</v>
      </c>
      <c r="G89" s="47"/>
      <c r="H89" s="1">
        <v>9367</v>
      </c>
      <c r="I89" s="171"/>
      <c r="J89" s="363"/>
      <c r="K89" s="170"/>
      <c r="L89" s="363"/>
      <c r="M89" s="170"/>
    </row>
    <row r="90" spans="3:13">
      <c r="C90" s="123">
        <v>737401</v>
      </c>
      <c r="D90" s="1" t="s">
        <v>326</v>
      </c>
      <c r="E90" s="170"/>
      <c r="F90" s="1">
        <f t="shared" ref="F90" si="10">+H90</f>
        <v>9367</v>
      </c>
      <c r="G90" s="47"/>
      <c r="H90" s="1">
        <v>9367</v>
      </c>
      <c r="I90" s="171"/>
      <c r="J90" s="363"/>
      <c r="K90" s="170"/>
      <c r="L90" s="363"/>
      <c r="M90" s="170"/>
    </row>
    <row r="91" spans="3:13">
      <c r="C91" s="123">
        <v>737500</v>
      </c>
      <c r="D91" s="1" t="s">
        <v>327</v>
      </c>
      <c r="E91" s="129">
        <v>0</v>
      </c>
      <c r="F91" s="1">
        <f t="shared" si="9"/>
        <v>0</v>
      </c>
      <c r="G91" s="47"/>
      <c r="H91" s="1">
        <v>0</v>
      </c>
      <c r="I91" s="129">
        <v>0</v>
      </c>
      <c r="J91" s="363"/>
      <c r="K91" s="129">
        <v>0</v>
      </c>
      <c r="L91" s="363"/>
      <c r="M91" s="129">
        <v>0</v>
      </c>
    </row>
    <row r="92" spans="3:13">
      <c r="C92" s="123">
        <v>737700</v>
      </c>
      <c r="D92" s="1" t="s">
        <v>719</v>
      </c>
      <c r="E92" s="129">
        <v>0</v>
      </c>
      <c r="F92" s="62">
        <f t="shared" si="9"/>
        <v>0</v>
      </c>
      <c r="G92" s="47"/>
      <c r="H92" s="1">
        <v>0</v>
      </c>
      <c r="I92" s="129">
        <v>0</v>
      </c>
      <c r="J92" s="363"/>
      <c r="K92" s="129">
        <v>0</v>
      </c>
      <c r="L92" s="363"/>
      <c r="M92" s="129">
        <v>0</v>
      </c>
    </row>
    <row r="93" spans="3:13">
      <c r="C93" s="123">
        <v>737700</v>
      </c>
      <c r="D93" s="1" t="s">
        <v>720</v>
      </c>
      <c r="E93" s="129"/>
      <c r="F93" s="62">
        <f t="shared" si="9"/>
        <v>0</v>
      </c>
      <c r="G93" s="130"/>
      <c r="H93" s="1">
        <v>0</v>
      </c>
      <c r="I93" s="129">
        <v>17500</v>
      </c>
      <c r="J93" s="363"/>
      <c r="K93" s="129">
        <v>17500</v>
      </c>
      <c r="L93" s="363"/>
      <c r="M93" s="129">
        <v>17500</v>
      </c>
    </row>
    <row r="94" spans="3:13">
      <c r="C94" s="123">
        <v>737700</v>
      </c>
      <c r="D94" s="1" t="s">
        <v>292</v>
      </c>
      <c r="E94" s="129"/>
      <c r="F94" s="62">
        <f t="shared" si="9"/>
        <v>0</v>
      </c>
      <c r="G94" s="130"/>
      <c r="H94" s="1">
        <v>0</v>
      </c>
      <c r="I94" s="129">
        <v>30000</v>
      </c>
      <c r="J94" s="363"/>
      <c r="K94" s="129">
        <v>30000</v>
      </c>
      <c r="L94" s="363"/>
      <c r="M94" s="129">
        <v>30000</v>
      </c>
    </row>
    <row r="95" spans="3:13">
      <c r="C95" s="123">
        <v>737700</v>
      </c>
      <c r="D95" s="1" t="s">
        <v>293</v>
      </c>
      <c r="E95" s="129"/>
      <c r="F95" s="62"/>
      <c r="G95" s="130"/>
      <c r="H95" s="1"/>
      <c r="I95" s="129">
        <v>40000</v>
      </c>
      <c r="J95" s="363"/>
      <c r="K95" s="129">
        <v>40000</v>
      </c>
      <c r="L95" s="363"/>
      <c r="M95" s="129">
        <v>40000</v>
      </c>
    </row>
    <row r="96" spans="3:13">
      <c r="C96" s="123">
        <v>737800</v>
      </c>
      <c r="D96" s="1" t="s">
        <v>721</v>
      </c>
      <c r="E96" s="129">
        <v>0</v>
      </c>
      <c r="F96" s="62">
        <f t="shared" si="9"/>
        <v>0</v>
      </c>
      <c r="G96" s="47"/>
      <c r="H96" s="1">
        <v>0</v>
      </c>
      <c r="I96" s="129">
        <v>0</v>
      </c>
      <c r="J96" s="363"/>
      <c r="K96" s="129">
        <v>0</v>
      </c>
      <c r="L96" s="363"/>
      <c r="M96" s="129">
        <v>0</v>
      </c>
    </row>
    <row r="97" spans="2:13">
      <c r="B97" s="363"/>
      <c r="C97" s="123">
        <v>738000</v>
      </c>
      <c r="D97" s="1" t="s">
        <v>294</v>
      </c>
      <c r="E97" s="129">
        <v>0</v>
      </c>
      <c r="F97" s="1">
        <f t="shared" si="9"/>
        <v>0</v>
      </c>
      <c r="G97" s="47"/>
      <c r="H97" s="1">
        <v>0</v>
      </c>
      <c r="I97" s="129">
        <v>30000</v>
      </c>
      <c r="J97" s="363"/>
      <c r="K97" s="129">
        <v>30000</v>
      </c>
      <c r="L97" s="363"/>
      <c r="M97" s="129">
        <v>30000</v>
      </c>
    </row>
    <row r="98" spans="2:13">
      <c r="B98" s="363"/>
      <c r="C98" s="123">
        <v>739000</v>
      </c>
      <c r="D98" s="1" t="s">
        <v>722</v>
      </c>
      <c r="E98" s="129">
        <v>0</v>
      </c>
      <c r="F98" s="1">
        <f t="shared" si="9"/>
        <v>0</v>
      </c>
      <c r="G98" s="47"/>
      <c r="H98" s="1">
        <v>0</v>
      </c>
      <c r="I98" s="129">
        <v>0</v>
      </c>
      <c r="J98" s="363"/>
      <c r="K98" s="129">
        <v>0</v>
      </c>
      <c r="L98" s="363"/>
      <c r="M98" s="129">
        <v>0</v>
      </c>
    </row>
    <row r="99" spans="2:13">
      <c r="B99" s="363"/>
      <c r="C99" s="123">
        <v>739100</v>
      </c>
      <c r="D99" s="1" t="s">
        <v>723</v>
      </c>
      <c r="E99" s="129">
        <v>0</v>
      </c>
      <c r="F99" s="1">
        <f t="shared" si="9"/>
        <v>0</v>
      </c>
      <c r="G99" s="47"/>
      <c r="H99" s="1">
        <v>0</v>
      </c>
      <c r="I99" s="129">
        <v>0</v>
      </c>
      <c r="J99" s="363"/>
      <c r="K99" s="129">
        <v>0</v>
      </c>
      <c r="L99" s="363"/>
      <c r="M99" s="129">
        <v>0</v>
      </c>
    </row>
    <row r="100" spans="2:13">
      <c r="B100" s="363"/>
      <c r="C100" s="123">
        <v>739200</v>
      </c>
      <c r="D100" s="1" t="s">
        <v>724</v>
      </c>
      <c r="E100" s="129">
        <v>0</v>
      </c>
      <c r="F100" s="1">
        <f t="shared" si="9"/>
        <v>0</v>
      </c>
      <c r="G100" s="47"/>
      <c r="H100" s="1">
        <v>0</v>
      </c>
      <c r="I100" s="129">
        <v>0</v>
      </c>
      <c r="J100" s="363"/>
      <c r="K100" s="129">
        <v>0</v>
      </c>
      <c r="L100" s="363"/>
      <c r="M100" s="129">
        <v>0</v>
      </c>
    </row>
    <row r="101" spans="2:13">
      <c r="B101" s="363"/>
      <c r="C101" s="123">
        <v>739210</v>
      </c>
      <c r="D101" s="1" t="s">
        <v>725</v>
      </c>
      <c r="E101" s="129">
        <v>0</v>
      </c>
      <c r="F101" s="1">
        <f t="shared" si="9"/>
        <v>0</v>
      </c>
      <c r="G101" s="47"/>
      <c r="H101" s="1">
        <v>0</v>
      </c>
      <c r="I101" s="129">
        <v>0</v>
      </c>
      <c r="J101" s="363"/>
      <c r="K101" s="129">
        <v>0</v>
      </c>
      <c r="L101" s="363"/>
      <c r="M101" s="129">
        <v>0</v>
      </c>
    </row>
    <row r="102" spans="2:13">
      <c r="B102" s="363"/>
      <c r="C102" s="123">
        <v>739300</v>
      </c>
      <c r="D102" s="1" t="s">
        <v>726</v>
      </c>
      <c r="E102" s="129">
        <v>0</v>
      </c>
      <c r="F102" s="1">
        <f t="shared" si="9"/>
        <v>0</v>
      </c>
      <c r="G102" s="47"/>
      <c r="H102" s="1">
        <v>0</v>
      </c>
      <c r="I102" s="129">
        <v>0</v>
      </c>
      <c r="J102" s="363"/>
      <c r="K102" s="129">
        <v>0</v>
      </c>
      <c r="L102" s="363"/>
      <c r="M102" s="129">
        <v>0</v>
      </c>
    </row>
    <row r="103" spans="2:13">
      <c r="B103" s="363"/>
      <c r="C103" s="123">
        <v>739400</v>
      </c>
      <c r="D103" s="1" t="s">
        <v>296</v>
      </c>
      <c r="E103" s="129">
        <v>17500</v>
      </c>
      <c r="F103" s="1">
        <f t="shared" si="9"/>
        <v>0</v>
      </c>
      <c r="G103" s="47"/>
      <c r="H103" s="1">
        <v>0</v>
      </c>
      <c r="I103" s="129">
        <v>17500</v>
      </c>
      <c r="J103" s="363"/>
      <c r="K103" s="129">
        <v>17500</v>
      </c>
      <c r="L103" s="363"/>
      <c r="M103" s="129">
        <v>17500</v>
      </c>
    </row>
    <row r="104" spans="2:13">
      <c r="B104" s="363"/>
      <c r="C104" s="123">
        <v>739400</v>
      </c>
      <c r="D104" s="1" t="s">
        <v>298</v>
      </c>
      <c r="E104" s="129"/>
      <c r="F104" s="1"/>
      <c r="G104" s="47"/>
      <c r="H104" s="1"/>
      <c r="I104" s="129">
        <v>20000</v>
      </c>
      <c r="J104" s="363"/>
      <c r="K104" s="129">
        <v>20000</v>
      </c>
      <c r="L104" s="363"/>
      <c r="M104" s="129">
        <v>20000</v>
      </c>
    </row>
    <row r="105" spans="2:13">
      <c r="B105" s="363"/>
      <c r="C105" s="123">
        <v>739600</v>
      </c>
      <c r="D105" s="1" t="s">
        <v>299</v>
      </c>
      <c r="E105" s="169">
        <v>0</v>
      </c>
      <c r="F105" s="1">
        <f t="shared" si="9"/>
        <v>0</v>
      </c>
      <c r="G105" s="47"/>
      <c r="H105" s="1">
        <v>0</v>
      </c>
      <c r="I105" s="169">
        <v>0</v>
      </c>
      <c r="J105" s="363"/>
      <c r="K105" s="169">
        <v>0</v>
      </c>
      <c r="L105" s="363"/>
      <c r="M105" s="169">
        <v>0</v>
      </c>
    </row>
    <row r="106" spans="2:13">
      <c r="B106" s="363"/>
      <c r="C106" s="117"/>
      <c r="D106" s="5"/>
      <c r="E106" s="131"/>
      <c r="F106" s="5"/>
      <c r="G106" s="47"/>
      <c r="H106" s="5"/>
      <c r="I106" s="131"/>
      <c r="J106" s="363"/>
      <c r="K106" s="131"/>
      <c r="L106" s="363"/>
      <c r="M106" s="131"/>
    </row>
    <row r="107" spans="2:13" ht="21">
      <c r="B107" s="216">
        <v>73</v>
      </c>
      <c r="C107" s="212" t="s">
        <v>300</v>
      </c>
      <c r="D107" s="209"/>
      <c r="E107" s="131"/>
      <c r="F107" s="5"/>
      <c r="G107" s="47"/>
      <c r="H107" s="209">
        <f>+H65+H76+SUM(H77:H105)</f>
        <v>687419.29</v>
      </c>
      <c r="I107" s="131"/>
      <c r="J107" s="363"/>
      <c r="K107" s="131"/>
      <c r="L107" s="363"/>
      <c r="M107" s="131"/>
    </row>
    <row r="108" spans="2:13" ht="15.75" thickBot="1">
      <c r="B108" s="363"/>
      <c r="C108" s="117"/>
      <c r="D108" s="5"/>
      <c r="E108" s="131"/>
      <c r="F108" s="5"/>
      <c r="G108" s="47"/>
      <c r="H108" s="5"/>
      <c r="I108" s="131"/>
      <c r="J108" s="363"/>
      <c r="K108" s="131"/>
      <c r="L108" s="363"/>
      <c r="M108" s="131"/>
    </row>
    <row r="109" spans="2:13" ht="32.25" thickBot="1">
      <c r="B109" s="27" t="s">
        <v>72</v>
      </c>
      <c r="C109" s="134"/>
      <c r="D109" s="135"/>
      <c r="E109" s="131"/>
      <c r="F109" s="5"/>
      <c r="G109" s="47"/>
      <c r="H109" s="165">
        <v>45930</v>
      </c>
      <c r="I109" s="81" t="str">
        <f>+I$6</f>
        <v>BUD 2025 base</v>
      </c>
      <c r="J109"/>
      <c r="K109" s="81" t="str">
        <f>+K$6</f>
        <v>BUD 2025 Adeps A</v>
      </c>
      <c r="L109" s="97"/>
      <c r="M109" s="81" t="str">
        <f>+M$6</f>
        <v>BUD 2025 Adeps B</v>
      </c>
    </row>
    <row r="110" spans="2:13" ht="15.75">
      <c r="B110" s="159"/>
      <c r="C110" s="133"/>
      <c r="D110" s="31"/>
      <c r="E110" s="131"/>
      <c r="F110" s="5"/>
      <c r="G110" s="47"/>
      <c r="H110" s="37">
        <f>SUM(H111:H117)</f>
        <v>9507.91</v>
      </c>
      <c r="I110" s="37">
        <f>SUM(I111:I126)</f>
        <v>6130</v>
      </c>
      <c r="J110"/>
      <c r="K110" s="37">
        <f>SUM(K111:K126)</f>
        <v>6130</v>
      </c>
      <c r="L110"/>
      <c r="M110" s="37">
        <f>SUM(M111:M126)</f>
        <v>6130</v>
      </c>
    </row>
    <row r="111" spans="2:13">
      <c r="B111" s="363"/>
      <c r="C111" s="214">
        <v>741000</v>
      </c>
      <c r="D111" s="2" t="s">
        <v>301</v>
      </c>
      <c r="E111" s="170">
        <v>0</v>
      </c>
      <c r="F111" s="2">
        <f t="shared" si="9"/>
        <v>0</v>
      </c>
      <c r="G111" s="47"/>
      <c r="H111" s="2">
        <v>0</v>
      </c>
      <c r="I111" s="170">
        <v>0</v>
      </c>
      <c r="J111" s="363"/>
      <c r="K111" s="170">
        <v>0</v>
      </c>
      <c r="L111" s="363"/>
      <c r="M111" s="170">
        <v>0</v>
      </c>
    </row>
    <row r="112" spans="2:13">
      <c r="B112" s="363"/>
      <c r="C112" s="123">
        <v>746000</v>
      </c>
      <c r="D112" s="1" t="s">
        <v>727</v>
      </c>
      <c r="E112" s="124">
        <v>6130</v>
      </c>
      <c r="F112" s="1">
        <f t="shared" si="9"/>
        <v>5580.6</v>
      </c>
      <c r="G112" s="47"/>
      <c r="H112" s="1">
        <v>5580.6</v>
      </c>
      <c r="I112" s="124">
        <v>6130</v>
      </c>
      <c r="J112" s="363"/>
      <c r="K112" s="124">
        <v>6130</v>
      </c>
      <c r="L112" s="363"/>
      <c r="M112" s="124">
        <v>6130</v>
      </c>
    </row>
    <row r="113" spans="2:13">
      <c r="B113" s="363"/>
      <c r="C113" s="123">
        <v>747000</v>
      </c>
      <c r="D113" s="1" t="s">
        <v>303</v>
      </c>
      <c r="E113" s="124"/>
      <c r="F113" s="1">
        <f t="shared" si="9"/>
        <v>0</v>
      </c>
      <c r="G113" s="47"/>
      <c r="H113" s="1"/>
      <c r="I113" s="124"/>
      <c r="J113" s="363"/>
      <c r="K113" s="124"/>
      <c r="L113" s="363"/>
      <c r="M113" s="124"/>
    </row>
    <row r="114" spans="2:13">
      <c r="B114" s="363"/>
      <c r="C114" s="123">
        <v>747001</v>
      </c>
      <c r="D114" s="1" t="s">
        <v>303</v>
      </c>
      <c r="E114" s="124">
        <v>0</v>
      </c>
      <c r="F114" s="1">
        <f t="shared" si="9"/>
        <v>0</v>
      </c>
      <c r="G114" s="47"/>
      <c r="H114" s="1">
        <v>0</v>
      </c>
      <c r="I114" s="124">
        <v>0</v>
      </c>
      <c r="J114" s="363"/>
      <c r="K114" s="124">
        <v>0</v>
      </c>
      <c r="L114" s="363"/>
      <c r="M114" s="124">
        <v>0</v>
      </c>
    </row>
    <row r="115" spans="2:13">
      <c r="B115" s="363"/>
      <c r="C115" s="123">
        <v>748200</v>
      </c>
      <c r="D115" s="1" t="s">
        <v>304</v>
      </c>
      <c r="E115" s="124"/>
      <c r="F115" s="1">
        <f t="shared" si="9"/>
        <v>3394.1</v>
      </c>
      <c r="G115" s="47"/>
      <c r="H115" s="107">
        <v>3394.1</v>
      </c>
      <c r="I115" s="124"/>
      <c r="J115" s="363"/>
      <c r="K115" s="124"/>
      <c r="L115" s="363"/>
      <c r="M115" s="124"/>
    </row>
    <row r="116" spans="2:13">
      <c r="B116" s="363"/>
      <c r="C116" s="123">
        <v>749020</v>
      </c>
      <c r="D116" s="1" t="s">
        <v>305</v>
      </c>
      <c r="E116" s="116">
        <v>0</v>
      </c>
      <c r="F116" s="1">
        <f t="shared" si="9"/>
        <v>533.21</v>
      </c>
      <c r="G116" s="47"/>
      <c r="H116" s="107">
        <v>533.21</v>
      </c>
      <c r="I116" s="116">
        <v>0</v>
      </c>
      <c r="J116" s="363"/>
      <c r="K116" s="116">
        <v>0</v>
      </c>
      <c r="L116" s="363"/>
      <c r="M116" s="116">
        <v>0</v>
      </c>
    </row>
    <row r="117" spans="2:13">
      <c r="B117" s="363"/>
      <c r="C117" s="115">
        <v>749090</v>
      </c>
      <c r="D117" s="4" t="s">
        <v>306</v>
      </c>
      <c r="E117" s="116">
        <v>0</v>
      </c>
      <c r="F117" s="4">
        <f t="shared" si="9"/>
        <v>0</v>
      </c>
      <c r="G117" s="143"/>
      <c r="H117" s="108">
        <v>0</v>
      </c>
      <c r="I117" s="116">
        <v>0</v>
      </c>
      <c r="J117" s="363"/>
      <c r="K117" s="116">
        <v>0</v>
      </c>
      <c r="L117" s="363"/>
      <c r="M117" s="116">
        <v>0</v>
      </c>
    </row>
    <row r="118" spans="2:13">
      <c r="B118" s="363"/>
      <c r="C118" s="117"/>
      <c r="D118" s="5"/>
      <c r="E118" s="118"/>
      <c r="F118" s="5"/>
      <c r="G118" s="143"/>
      <c r="H118" s="5"/>
      <c r="I118" s="118"/>
      <c r="J118" s="363"/>
      <c r="K118" s="118"/>
      <c r="L118" s="363"/>
      <c r="M118" s="118"/>
    </row>
    <row r="119" spans="2:13" customFormat="1" ht="48" thickBot="1">
      <c r="C119" s="133"/>
      <c r="D119" s="31"/>
      <c r="E119" s="81" t="str">
        <f>+E$6</f>
        <v>BUDGET 2024</v>
      </c>
      <c r="F119" s="97" t="str">
        <f>F$6</f>
        <v>Au 27/11/2024</v>
      </c>
      <c r="G119" s="141"/>
      <c r="H119" s="165">
        <v>45930</v>
      </c>
      <c r="I119" s="81" t="str">
        <f>+I$6</f>
        <v>BUD 2025 base</v>
      </c>
      <c r="K119" s="81" t="str">
        <f>+K$6</f>
        <v>BUD 2025 Adeps A</v>
      </c>
      <c r="L119" s="97"/>
      <c r="M119" s="81" t="str">
        <f>+M$6</f>
        <v>BUD 2025 Adeps B</v>
      </c>
    </row>
    <row r="120" spans="2:13" customFormat="1" ht="16.5" thickBot="1">
      <c r="B120" s="27" t="s">
        <v>74</v>
      </c>
      <c r="C120" s="134"/>
      <c r="D120" s="135"/>
      <c r="E120" s="37">
        <f>SUM(E121:E124)</f>
        <v>0</v>
      </c>
      <c r="F120" s="35">
        <f>SUM(F121:F124)</f>
        <v>0</v>
      </c>
      <c r="G120" s="106" t="e">
        <f>+F120/E120</f>
        <v>#DIV/0!</v>
      </c>
      <c r="H120" s="37">
        <f>SUM(H121:H124)</f>
        <v>0</v>
      </c>
      <c r="I120" s="37">
        <f>SUM(I121:I124)</f>
        <v>0</v>
      </c>
      <c r="K120" s="37">
        <f>SUM(K121:K124)</f>
        <v>0</v>
      </c>
      <c r="M120" s="37">
        <f>SUM(M121:M124)</f>
        <v>0</v>
      </c>
    </row>
    <row r="121" spans="2:13">
      <c r="B121" s="363"/>
      <c r="C121" s="123">
        <v>750000</v>
      </c>
      <c r="D121" s="1" t="s">
        <v>307</v>
      </c>
      <c r="E121" s="129">
        <v>0</v>
      </c>
      <c r="F121" s="1">
        <f t="shared" ref="F121:F124" si="11">+H121</f>
        <v>0</v>
      </c>
      <c r="G121" s="143"/>
      <c r="H121" s="1">
        <v>0</v>
      </c>
      <c r="I121" s="129">
        <v>0</v>
      </c>
      <c r="J121" s="363"/>
      <c r="K121" s="129">
        <v>0</v>
      </c>
      <c r="L121" s="363"/>
      <c r="M121" s="129">
        <v>0</v>
      </c>
    </row>
    <row r="122" spans="2:13">
      <c r="B122" s="363"/>
      <c r="C122" s="123">
        <v>751000</v>
      </c>
      <c r="D122" s="1" t="s">
        <v>308</v>
      </c>
      <c r="E122" s="129">
        <v>0</v>
      </c>
      <c r="F122" s="1">
        <f t="shared" si="11"/>
        <v>0</v>
      </c>
      <c r="G122" s="143"/>
      <c r="H122" s="1">
        <v>0</v>
      </c>
      <c r="I122" s="129">
        <v>0</v>
      </c>
      <c r="J122" s="363"/>
      <c r="K122" s="129">
        <v>0</v>
      </c>
      <c r="L122" s="363"/>
      <c r="M122" s="129">
        <v>0</v>
      </c>
    </row>
    <row r="123" spans="2:13">
      <c r="B123" s="363"/>
      <c r="C123" s="123">
        <v>754000</v>
      </c>
      <c r="D123" s="1" t="s">
        <v>309</v>
      </c>
      <c r="E123" s="129">
        <v>0</v>
      </c>
      <c r="F123" s="1">
        <f t="shared" si="11"/>
        <v>0</v>
      </c>
      <c r="G123" s="143"/>
      <c r="H123" s="1">
        <v>0</v>
      </c>
      <c r="I123" s="129">
        <v>0</v>
      </c>
      <c r="J123" s="363"/>
      <c r="K123" s="129">
        <v>0</v>
      </c>
      <c r="L123" s="363"/>
      <c r="M123" s="129">
        <v>0</v>
      </c>
    </row>
    <row r="124" spans="2:13">
      <c r="B124" s="363"/>
      <c r="C124" s="123">
        <v>755000</v>
      </c>
      <c r="D124" s="1" t="s">
        <v>310</v>
      </c>
      <c r="E124" s="129">
        <v>0</v>
      </c>
      <c r="F124" s="4">
        <f t="shared" si="11"/>
        <v>0</v>
      </c>
      <c r="G124" s="143"/>
      <c r="H124" s="4">
        <v>0</v>
      </c>
      <c r="I124" s="129">
        <v>0</v>
      </c>
      <c r="J124" s="363"/>
      <c r="K124" s="129">
        <v>0</v>
      </c>
      <c r="L124" s="363"/>
      <c r="M124" s="129">
        <v>0</v>
      </c>
    </row>
    <row r="125" spans="2:13">
      <c r="B125" s="363"/>
      <c r="C125" s="117"/>
      <c r="D125" s="5"/>
      <c r="E125" s="131"/>
      <c r="F125" s="5"/>
      <c r="G125" s="143"/>
      <c r="H125" s="5"/>
      <c r="I125" s="131"/>
      <c r="J125" s="363"/>
      <c r="K125" s="131"/>
      <c r="L125" s="363"/>
      <c r="M125" s="131"/>
    </row>
    <row r="126" spans="2:13" customFormat="1" ht="48" thickBot="1">
      <c r="C126" s="133"/>
      <c r="D126" s="31"/>
      <c r="E126" s="81" t="str">
        <f>+E$6</f>
        <v>BUDGET 2024</v>
      </c>
      <c r="F126" s="145" t="str">
        <f>F$6</f>
        <v>Au 27/11/2024</v>
      </c>
      <c r="G126" s="141"/>
      <c r="H126" s="165">
        <v>45930</v>
      </c>
      <c r="I126" s="81" t="str">
        <f>+I$6</f>
        <v>BUD 2025 base</v>
      </c>
      <c r="K126" s="81" t="str">
        <f>+K$6</f>
        <v>BUD 2025 Adeps A</v>
      </c>
      <c r="L126" s="97"/>
      <c r="M126" s="81" t="str">
        <f>+M$6</f>
        <v>BUD 2025 Adeps B</v>
      </c>
    </row>
    <row r="127" spans="2:13" customFormat="1" ht="16.5" thickBot="1">
      <c r="B127" s="27" t="s">
        <v>311</v>
      </c>
      <c r="C127" s="134"/>
      <c r="D127" s="135"/>
      <c r="E127" s="37">
        <f>SUM(E128:E143)</f>
        <v>129151.84000000001</v>
      </c>
      <c r="F127" s="35">
        <f>SUM(F128:F143)</f>
        <v>74000</v>
      </c>
      <c r="G127" s="106">
        <f>+F127/E127</f>
        <v>0.57296899525395839</v>
      </c>
      <c r="H127" s="37">
        <f>SUM(H128:H143)</f>
        <v>74000</v>
      </c>
      <c r="I127" s="37">
        <f>SUM(I128:I143)</f>
        <v>241382.54</v>
      </c>
      <c r="K127" s="37">
        <f>SUM(K128:K143)</f>
        <v>249482.54</v>
      </c>
      <c r="M127" s="37">
        <f>SUM(M128:M143)</f>
        <v>249482.54</v>
      </c>
    </row>
    <row r="128" spans="2:13">
      <c r="B128" s="363"/>
      <c r="C128" s="123">
        <v>762000</v>
      </c>
      <c r="D128" s="62" t="s">
        <v>312</v>
      </c>
      <c r="E128" s="124">
        <v>126461.74</v>
      </c>
      <c r="F128" s="1">
        <f>+H128</f>
        <v>74000</v>
      </c>
      <c r="G128" s="143"/>
      <c r="H128" s="1">
        <v>74000</v>
      </c>
      <c r="I128" s="129">
        <v>0</v>
      </c>
      <c r="J128" s="363"/>
      <c r="K128" s="129">
        <v>0</v>
      </c>
      <c r="L128" s="363"/>
      <c r="M128" s="129">
        <v>0</v>
      </c>
    </row>
    <row r="129" spans="3:13">
      <c r="C129" s="123">
        <v>762000</v>
      </c>
      <c r="D129" s="55" t="s">
        <v>196</v>
      </c>
      <c r="E129" s="124"/>
      <c r="F129" s="1"/>
      <c r="G129" s="143"/>
      <c r="H129" s="1"/>
      <c r="I129" s="138">
        <v>30000</v>
      </c>
      <c r="J129" s="363"/>
      <c r="K129" s="138">
        <v>30000</v>
      </c>
      <c r="L129" s="363"/>
      <c r="M129" s="138">
        <v>30000</v>
      </c>
    </row>
    <row r="130" spans="3:13">
      <c r="C130" s="123"/>
      <c r="D130" s="55" t="s">
        <v>197</v>
      </c>
      <c r="E130" s="124"/>
      <c r="F130" s="1"/>
      <c r="G130" s="143"/>
      <c r="H130" s="1"/>
      <c r="I130" s="138">
        <v>43200</v>
      </c>
      <c r="J130" s="363"/>
      <c r="K130" s="138">
        <v>43200</v>
      </c>
      <c r="L130" s="363"/>
      <c r="M130" s="138">
        <v>43200</v>
      </c>
    </row>
    <row r="131" spans="3:13">
      <c r="C131" s="123"/>
      <c r="D131" s="55" t="s">
        <v>198</v>
      </c>
      <c r="E131" s="124"/>
      <c r="F131" s="1"/>
      <c r="G131" s="143"/>
      <c r="H131" s="1"/>
      <c r="I131" s="138">
        <v>15000</v>
      </c>
      <c r="J131" s="363"/>
      <c r="K131" s="138">
        <v>15000</v>
      </c>
      <c r="L131" s="363"/>
      <c r="M131" s="138">
        <v>15000</v>
      </c>
    </row>
    <row r="132" spans="3:13">
      <c r="C132" s="123"/>
      <c r="D132" s="55" t="s">
        <v>199</v>
      </c>
      <c r="E132" s="124"/>
      <c r="F132" s="1"/>
      <c r="G132" s="143"/>
      <c r="H132" s="1"/>
      <c r="I132" s="138">
        <v>15000</v>
      </c>
      <c r="J132" s="363"/>
      <c r="K132" s="138">
        <v>15000</v>
      </c>
      <c r="L132" s="363"/>
      <c r="M132" s="138">
        <v>15000</v>
      </c>
    </row>
    <row r="133" spans="3:13">
      <c r="C133" s="123"/>
      <c r="D133" s="55" t="s">
        <v>200</v>
      </c>
      <c r="E133" s="124"/>
      <c r="F133" s="1"/>
      <c r="G133" s="143"/>
      <c r="H133" s="1"/>
      <c r="I133" s="138">
        <v>20000</v>
      </c>
      <c r="J133" s="363"/>
      <c r="K133" s="138">
        <v>20000</v>
      </c>
      <c r="L133" s="363"/>
      <c r="M133" s="138">
        <v>20000</v>
      </c>
    </row>
    <row r="134" spans="3:13">
      <c r="C134" s="123"/>
      <c r="D134" s="55" t="s">
        <v>201</v>
      </c>
      <c r="E134" s="124"/>
      <c r="F134" s="1"/>
      <c r="G134" s="143"/>
      <c r="H134" s="1"/>
      <c r="I134" s="138">
        <v>20000</v>
      </c>
      <c r="J134" s="363"/>
      <c r="K134" s="138">
        <v>20000</v>
      </c>
      <c r="L134" s="363"/>
      <c r="M134" s="138">
        <v>20000</v>
      </c>
    </row>
    <row r="135" spans="3:13">
      <c r="C135" s="123"/>
      <c r="D135" s="55" t="s">
        <v>202</v>
      </c>
      <c r="E135" s="124"/>
      <c r="F135" s="1"/>
      <c r="G135" s="143"/>
      <c r="H135" s="1"/>
      <c r="I135" s="138">
        <v>0</v>
      </c>
      <c r="J135" s="363"/>
      <c r="K135" s="138">
        <v>0</v>
      </c>
      <c r="L135" s="363"/>
      <c r="M135" s="138">
        <v>0</v>
      </c>
    </row>
    <row r="136" spans="3:13">
      <c r="C136" s="123"/>
      <c r="D136" s="55" t="s">
        <v>203</v>
      </c>
      <c r="E136" s="124"/>
      <c r="F136" s="1"/>
      <c r="G136" s="143"/>
      <c r="H136" s="1"/>
      <c r="I136" s="138">
        <v>5000</v>
      </c>
      <c r="J136" s="363"/>
      <c r="K136" s="138">
        <v>5000</v>
      </c>
      <c r="L136" s="363"/>
      <c r="M136" s="138">
        <v>5000</v>
      </c>
    </row>
    <row r="137" spans="3:13">
      <c r="C137" s="123"/>
      <c r="D137" s="55" t="s">
        <v>204</v>
      </c>
      <c r="E137" s="124"/>
      <c r="F137" s="1"/>
      <c r="G137" s="143"/>
      <c r="H137" s="1"/>
      <c r="I137" s="138">
        <v>10000</v>
      </c>
      <c r="J137" s="363"/>
      <c r="K137" s="138">
        <v>10000</v>
      </c>
      <c r="L137" s="363"/>
      <c r="M137" s="138">
        <v>10000</v>
      </c>
    </row>
    <row r="138" spans="3:13">
      <c r="C138" s="123"/>
      <c r="D138" s="55" t="s">
        <v>205</v>
      </c>
      <c r="E138" s="124"/>
      <c r="F138" s="1"/>
      <c r="G138" s="143"/>
      <c r="H138" s="1"/>
      <c r="I138" s="138">
        <v>15000</v>
      </c>
      <c r="J138" s="363"/>
      <c r="K138" s="138">
        <v>15000</v>
      </c>
      <c r="L138" s="363"/>
      <c r="M138" s="138">
        <v>15000</v>
      </c>
    </row>
    <row r="139" spans="3:13">
      <c r="C139" s="123"/>
      <c r="D139" s="55" t="s">
        <v>206</v>
      </c>
      <c r="E139" s="124"/>
      <c r="F139" s="1"/>
      <c r="G139" s="143"/>
      <c r="H139" s="1"/>
      <c r="I139" s="138">
        <v>40000</v>
      </c>
      <c r="J139" s="363"/>
      <c r="K139" s="138">
        <v>40000</v>
      </c>
      <c r="L139" s="363"/>
      <c r="M139" s="138">
        <v>40000</v>
      </c>
    </row>
    <row r="140" spans="3:13">
      <c r="C140" s="123"/>
      <c r="D140" s="55" t="s">
        <v>208</v>
      </c>
      <c r="E140" s="124"/>
      <c r="F140" s="1"/>
      <c r="G140" s="143"/>
      <c r="H140" s="1"/>
      <c r="I140" s="138">
        <v>25492.44</v>
      </c>
      <c r="J140" s="363"/>
      <c r="K140" s="138">
        <v>33592.44</v>
      </c>
      <c r="L140" s="363"/>
      <c r="M140" s="138">
        <v>33592.44</v>
      </c>
    </row>
    <row r="141" spans="3:13">
      <c r="C141" s="132" t="s">
        <v>313</v>
      </c>
      <c r="D141" s="1" t="s">
        <v>314</v>
      </c>
      <c r="E141" s="124">
        <v>2690.1</v>
      </c>
      <c r="F141" s="1">
        <f>+H141</f>
        <v>0</v>
      </c>
      <c r="G141" s="143"/>
      <c r="H141" s="1">
        <v>0</v>
      </c>
      <c r="I141" s="124">
        <v>2690.1</v>
      </c>
      <c r="J141" s="363"/>
      <c r="K141" s="124">
        <v>2690.1</v>
      </c>
      <c r="L141" s="363"/>
      <c r="M141" s="124">
        <v>2690.1</v>
      </c>
    </row>
    <row r="142" spans="3:13">
      <c r="C142" s="123">
        <v>763000</v>
      </c>
      <c r="D142" s="1" t="s">
        <v>315</v>
      </c>
      <c r="E142" s="124"/>
      <c r="F142" s="1">
        <f>+H142</f>
        <v>0</v>
      </c>
      <c r="G142" s="143"/>
      <c r="H142" s="1">
        <v>0</v>
      </c>
      <c r="I142" s="124"/>
      <c r="J142" s="363"/>
      <c r="K142" s="124"/>
      <c r="L142" s="363"/>
      <c r="M142" s="124"/>
    </row>
    <row r="143" spans="3:13">
      <c r="C143" s="115">
        <v>764000</v>
      </c>
      <c r="D143" s="4" t="s">
        <v>728</v>
      </c>
      <c r="E143" s="54"/>
      <c r="F143" s="4">
        <f>+H143</f>
        <v>0</v>
      </c>
      <c r="G143" s="143"/>
      <c r="H143" s="4">
        <v>0</v>
      </c>
      <c r="I143" s="54"/>
      <c r="J143" s="363"/>
      <c r="K143" s="54"/>
      <c r="L143" s="363"/>
      <c r="M143" s="54"/>
    </row>
    <row r="145" spans="2:13">
      <c r="B145" s="363"/>
      <c r="C145" s="398"/>
      <c r="D145" s="55" t="s">
        <v>196</v>
      </c>
      <c r="E145" s="52"/>
      <c r="F145" s="138">
        <v>30000</v>
      </c>
      <c r="H145" s="55" t="s">
        <v>202</v>
      </c>
      <c r="I145" s="52"/>
      <c r="J145" s="363"/>
      <c r="K145" s="363"/>
      <c r="L145" s="363"/>
      <c r="M145" s="138">
        <v>0</v>
      </c>
    </row>
    <row r="146" spans="2:13">
      <c r="B146" s="363"/>
      <c r="C146" s="398"/>
      <c r="D146" s="55" t="s">
        <v>197</v>
      </c>
      <c r="E146" s="52"/>
      <c r="F146" s="138">
        <v>43200</v>
      </c>
      <c r="H146" s="55" t="s">
        <v>203</v>
      </c>
      <c r="I146" s="52"/>
      <c r="J146" s="363"/>
      <c r="K146" s="363"/>
      <c r="L146" s="363"/>
      <c r="M146" s="138">
        <v>5000</v>
      </c>
    </row>
    <row r="147" spans="2:13">
      <c r="B147" s="363"/>
      <c r="C147" s="398"/>
      <c r="D147" s="55" t="s">
        <v>198</v>
      </c>
      <c r="E147" s="52"/>
      <c r="F147" s="138">
        <v>15000</v>
      </c>
      <c r="H147" s="55" t="s">
        <v>204</v>
      </c>
      <c r="I147" s="52"/>
      <c r="J147" s="363"/>
      <c r="K147" s="363"/>
      <c r="L147" s="363"/>
      <c r="M147" s="138">
        <v>10000</v>
      </c>
    </row>
    <row r="148" spans="2:13">
      <c r="B148" s="363"/>
      <c r="C148" s="398"/>
      <c r="D148" s="55" t="s">
        <v>199</v>
      </c>
      <c r="E148" s="52"/>
      <c r="F148" s="138">
        <v>15000</v>
      </c>
      <c r="H148" s="55" t="s">
        <v>205</v>
      </c>
      <c r="I148" s="52"/>
      <c r="J148" s="363"/>
      <c r="K148" s="363"/>
      <c r="L148" s="363"/>
      <c r="M148" s="138">
        <v>15000</v>
      </c>
    </row>
    <row r="149" spans="2:13">
      <c r="B149" s="363"/>
      <c r="C149" s="398"/>
      <c r="D149" s="55" t="s">
        <v>200</v>
      </c>
      <c r="E149" s="52"/>
      <c r="F149" s="138">
        <v>20000</v>
      </c>
      <c r="H149" s="55" t="s">
        <v>206</v>
      </c>
      <c r="I149" s="52"/>
      <c r="J149" s="363"/>
      <c r="K149" s="363"/>
      <c r="L149" s="363"/>
      <c r="M149" s="138">
        <v>40000</v>
      </c>
    </row>
    <row r="150" spans="2:13">
      <c r="B150" s="363"/>
      <c r="C150" s="398"/>
      <c r="D150" s="55" t="s">
        <v>201</v>
      </c>
      <c r="E150" s="52"/>
      <c r="F150" s="138">
        <v>20000</v>
      </c>
      <c r="H150" s="55" t="s">
        <v>208</v>
      </c>
      <c r="I150" s="52"/>
      <c r="J150" s="363"/>
      <c r="K150" s="363"/>
      <c r="L150" s="363"/>
      <c r="M150" s="138">
        <v>17400</v>
      </c>
    </row>
    <row r="151" spans="2:13">
      <c r="B151" s="363"/>
      <c r="C151" s="398"/>
      <c r="D151" s="363"/>
      <c r="E151" s="363"/>
      <c r="F151" s="363"/>
      <c r="H151" s="363"/>
      <c r="J151" s="363"/>
      <c r="L151" s="363"/>
    </row>
    <row r="152" spans="2:13" ht="21">
      <c r="B152" s="216">
        <v>7</v>
      </c>
      <c r="C152" s="212" t="s">
        <v>317</v>
      </c>
      <c r="D152" s="209"/>
      <c r="E152" s="131"/>
      <c r="F152" s="5"/>
      <c r="G152" s="47"/>
      <c r="H152" s="209">
        <f>+H59+H107+H110+H120+H127</f>
        <v>880256.29</v>
      </c>
      <c r="I152" s="131"/>
      <c r="J152" s="363"/>
      <c r="K152" s="131"/>
      <c r="L152" s="363"/>
      <c r="M152" s="131"/>
    </row>
    <row r="153" spans="2:13">
      <c r="B153" s="363"/>
      <c r="C153" s="398"/>
      <c r="D153" s="363"/>
      <c r="E153" s="363"/>
      <c r="F153" s="363"/>
      <c r="H153" s="363"/>
      <c r="J153" s="363"/>
      <c r="L153" s="363"/>
    </row>
    <row r="154" spans="2:13">
      <c r="B154" s="363"/>
      <c r="C154" s="398"/>
      <c r="D154" s="363"/>
      <c r="E154" s="363"/>
      <c r="F154" s="363"/>
      <c r="H154" s="363"/>
      <c r="J154" s="363"/>
      <c r="L154" s="363"/>
    </row>
    <row r="155" spans="2:13">
      <c r="B155" s="363"/>
      <c r="C155" s="398"/>
      <c r="D155" s="363"/>
      <c r="E155" s="363"/>
      <c r="F155" s="363"/>
      <c r="H155" s="363"/>
      <c r="J155" s="363"/>
      <c r="L155" s="363"/>
    </row>
    <row r="156" spans="2:13">
      <c r="B156" s="363"/>
      <c r="C156" s="398"/>
      <c r="D156" s="363"/>
      <c r="E156" s="363"/>
      <c r="F156" s="363"/>
      <c r="H156" s="363"/>
      <c r="J156" s="363"/>
      <c r="L156" s="363"/>
    </row>
  </sheetData>
  <mergeCells count="12">
    <mergeCell ref="E86:E88"/>
    <mergeCell ref="I86:I88"/>
    <mergeCell ref="K86:K88"/>
    <mergeCell ref="M86:M88"/>
    <mergeCell ref="E78:E79"/>
    <mergeCell ref="I78:I79"/>
    <mergeCell ref="K78:K79"/>
    <mergeCell ref="M78:M79"/>
    <mergeCell ref="E80:E84"/>
    <mergeCell ref="I80:I84"/>
    <mergeCell ref="K80:K84"/>
    <mergeCell ref="M80:M84"/>
  </mergeCells>
  <pageMargins left="0.2" right="0.2" top="0.25" bottom="0.25" header="0.3" footer="0.3"/>
  <pageSetup paperSize="9" orientation="landscape" horizontalDpi="0" verticalDpi="0"/>
  <rowBreaks count="1" manualBreakCount="1">
    <brk id="60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A93B2-7A72-8048-9CCC-C778498C5592}">
  <dimension ref="B1:K72"/>
  <sheetViews>
    <sheetView zoomScaleNormal="100" workbookViewId="0">
      <selection activeCell="M9" sqref="M9"/>
    </sheetView>
  </sheetViews>
  <sheetFormatPr defaultColWidth="11.5" defaultRowHeight="15.75"/>
  <cols>
    <col min="1" max="1" width="1.125" customWidth="1"/>
    <col min="2" max="2" width="39.375" customWidth="1"/>
    <col min="3" max="3" width="14.875" customWidth="1"/>
    <col min="4" max="4" width="14.5" customWidth="1"/>
    <col min="5" max="5" width="9" customWidth="1"/>
    <col min="6" max="6" width="3.125" customWidth="1"/>
    <col min="7" max="7" width="14.375" customWidth="1"/>
    <col min="8" max="8" width="2.5" customWidth="1"/>
    <col min="9" max="9" width="15.5" customWidth="1"/>
    <col min="10" max="10" width="2.375" customWidth="1"/>
    <col min="11" max="11" width="15.125" customWidth="1"/>
    <col min="12" max="12" width="1.5" customWidth="1"/>
    <col min="13" max="13" width="80.625" customWidth="1"/>
    <col min="15" max="15" width="29.5" customWidth="1"/>
    <col min="16" max="16" width="83.625" customWidth="1"/>
    <col min="17" max="17" width="63.625" customWidth="1"/>
    <col min="18" max="18" width="56.5" customWidth="1"/>
  </cols>
  <sheetData>
    <row r="1" spans="2:11" ht="5.0999999999999996" customHeight="1"/>
    <row r="2" spans="2:11">
      <c r="B2" s="148" t="str">
        <f>+'[1]Ventilation CLASSE 6'!D4</f>
        <v>Résultat 2024 &amp; BUDGET 2025</v>
      </c>
      <c r="D2" t="s">
        <v>729</v>
      </c>
      <c r="E2" s="146">
        <v>11</v>
      </c>
      <c r="I2" s="147" t="s">
        <v>730</v>
      </c>
    </row>
    <row r="3" spans="2:11" ht="8.1" customHeight="1"/>
    <row r="4" spans="2:11">
      <c r="B4" s="149" t="s">
        <v>731</v>
      </c>
      <c r="C4" s="150" t="str">
        <f>'[1]Ventilation CLASSE 6'!E6</f>
        <v>BUDGET 2024</v>
      </c>
      <c r="D4" s="150" t="str">
        <f>'[1]Ventilation CLASSE 6'!F6</f>
        <v>Au 27/11/2024</v>
      </c>
      <c r="G4" s="150" t="str">
        <f>'[1]Ventilation CLASSE 6'!I6</f>
        <v>BUD 2025 base</v>
      </c>
      <c r="I4" s="150" t="str">
        <f>'[1]Ventilation CLASSE 6'!K6</f>
        <v>BUD 2025 Adeps A</v>
      </c>
      <c r="K4" s="150" t="str">
        <f>'[1]Ventilation CLASSE 6'!M6</f>
        <v>BUD 2025 Adeps B</v>
      </c>
    </row>
    <row r="5" spans="2:11">
      <c r="B5" s="149" t="s">
        <v>55</v>
      </c>
      <c r="C5" s="151">
        <f>'[1]Ventilation CLASSE 6'!E7</f>
        <v>13000</v>
      </c>
      <c r="D5" s="35">
        <f>'[1]Ventilation CLASSE 6'!F7</f>
        <v>1217.28</v>
      </c>
      <c r="E5" s="152">
        <f t="shared" ref="E5:E15" si="0">+D5/C5</f>
        <v>9.3636923076923076E-2</v>
      </c>
      <c r="G5" s="151">
        <f>'[1]Ventilation CLASSE 6'!I7</f>
        <v>13000</v>
      </c>
      <c r="I5" s="151">
        <f>'[1]Ventilation CLASSE 6'!K7</f>
        <v>13000</v>
      </c>
      <c r="K5" s="151">
        <f>'[1]Ventilation CLASSE 6'!M7</f>
        <v>13000</v>
      </c>
    </row>
    <row r="6" spans="2:11">
      <c r="B6" s="149" t="s">
        <v>57</v>
      </c>
      <c r="C6" s="151">
        <f>'[1]Ventilation CLASSE 6'!E14</f>
        <v>31622.06</v>
      </c>
      <c r="D6" s="35">
        <f>'[1]Ventilation CLASSE 6'!F14</f>
        <v>29119.839999999997</v>
      </c>
      <c r="E6" s="152">
        <f t="shared" si="0"/>
        <v>0.92087106279603526</v>
      </c>
      <c r="G6" s="151">
        <f>'[1]Ventilation CLASSE 6'!I14</f>
        <v>39300</v>
      </c>
      <c r="I6" s="151">
        <f>'[1]Ventilation CLASSE 6'!K14</f>
        <v>39300</v>
      </c>
      <c r="K6" s="151">
        <f>'[1]Ventilation CLASSE 6'!M14</f>
        <v>39300</v>
      </c>
    </row>
    <row r="7" spans="2:11">
      <c r="B7" s="149" t="s">
        <v>59</v>
      </c>
      <c r="C7" s="151">
        <f>'[1]Ventilation CLASSE 6'!E40</f>
        <v>49995</v>
      </c>
      <c r="D7" s="35">
        <f>'[1]Ventilation CLASSE 6'!F40</f>
        <v>49886.81</v>
      </c>
      <c r="E7" s="152">
        <f t="shared" si="0"/>
        <v>0.99783598359835979</v>
      </c>
      <c r="G7" s="151">
        <f>'[1]Ventilation CLASSE 6'!I40</f>
        <v>63380</v>
      </c>
      <c r="I7" s="151">
        <f>'[1]Ventilation CLASSE 6'!K40</f>
        <v>63380</v>
      </c>
      <c r="K7" s="151">
        <f>'[1]Ventilation CLASSE 6'!M40</f>
        <v>63380</v>
      </c>
    </row>
    <row r="8" spans="2:11">
      <c r="B8" s="149" t="s">
        <v>61</v>
      </c>
      <c r="C8" s="151">
        <f>'[1]Ventilation CLASSE 6'!E77</f>
        <v>19340</v>
      </c>
      <c r="D8" s="35">
        <f>'[1]Ventilation CLASSE 6'!F77</f>
        <v>18326.809999999998</v>
      </c>
      <c r="E8" s="152">
        <f t="shared" si="0"/>
        <v>0.94761168562564624</v>
      </c>
      <c r="G8" s="151">
        <f>'[1]Ventilation CLASSE 6'!I77</f>
        <v>23150</v>
      </c>
      <c r="I8" s="151">
        <f>'[1]Ventilation CLASSE 6'!K77</f>
        <v>23150</v>
      </c>
      <c r="K8" s="151">
        <f>'[1]Ventilation CLASSE 6'!M77</f>
        <v>23150</v>
      </c>
    </row>
    <row r="9" spans="2:11">
      <c r="B9" s="149" t="s">
        <v>63</v>
      </c>
      <c r="C9" s="151">
        <f>'[1]Ventilation CLASSE 6'!E90</f>
        <v>19550</v>
      </c>
      <c r="D9" s="35">
        <f>'[1]Ventilation CLASSE 6'!F90</f>
        <v>13262.69</v>
      </c>
      <c r="E9" s="152">
        <f t="shared" si="0"/>
        <v>0.67839846547314575</v>
      </c>
      <c r="G9" s="151">
        <f>'[1]Ventilation CLASSE 6'!I90</f>
        <v>20050</v>
      </c>
      <c r="I9" s="151">
        <f>'[1]Ventilation CLASSE 6'!K90</f>
        <v>20050</v>
      </c>
      <c r="K9" s="151">
        <f>'[1]Ventilation CLASSE 6'!M90</f>
        <v>20050</v>
      </c>
    </row>
    <row r="10" spans="2:11">
      <c r="B10" s="149" t="s">
        <v>732</v>
      </c>
      <c r="C10" s="151">
        <f>'[1]Ventilation CLASSE 6'!E104</f>
        <v>159339.68</v>
      </c>
      <c r="D10" s="35">
        <f>'[1]Ventilation CLASSE 6'!F104</f>
        <v>157563.03999999998</v>
      </c>
      <c r="E10" s="152">
        <f t="shared" si="0"/>
        <v>0.9888499838834871</v>
      </c>
      <c r="G10" s="151">
        <f>'[1]Ventilation CLASSE 6'!I104</f>
        <v>157589.68</v>
      </c>
      <c r="I10" s="151">
        <f>'[1]Ventilation CLASSE 6'!K104</f>
        <v>157589.68</v>
      </c>
      <c r="K10" s="151">
        <f>'[1]Ventilation CLASSE 6'!M104</f>
        <v>157589.68</v>
      </c>
    </row>
    <row r="11" spans="2:11">
      <c r="B11" s="149" t="s">
        <v>67</v>
      </c>
      <c r="C11" s="151">
        <f>'[1]Ventilation CLASSE 6'!E121</f>
        <v>23750</v>
      </c>
      <c r="D11" s="35">
        <f>'[1]Ventilation CLASSE 6'!F121</f>
        <v>14439.93</v>
      </c>
      <c r="E11" s="152">
        <f t="shared" si="0"/>
        <v>0.60799705263157899</v>
      </c>
      <c r="G11" s="151">
        <f>'[1]Ventilation CLASSE 6'!I121</f>
        <v>36950</v>
      </c>
      <c r="I11" s="151">
        <f>'[1]Ventilation CLASSE 6'!K121</f>
        <v>36950</v>
      </c>
      <c r="K11" s="151">
        <f>'[1]Ventilation CLASSE 6'!M121</f>
        <v>36950</v>
      </c>
    </row>
    <row r="12" spans="2:11">
      <c r="B12" s="149" t="s">
        <v>545</v>
      </c>
      <c r="C12" s="151">
        <f>+'[1]Classes 6 scénario 1'!E22</f>
        <v>118900</v>
      </c>
      <c r="D12" s="35">
        <f>+'[1]Classes 6 scénario 1'!F22</f>
        <v>16423.28</v>
      </c>
      <c r="E12" s="152">
        <f t="shared" si="0"/>
        <v>0.13812682926829267</v>
      </c>
      <c r="G12" s="151">
        <f>+'[1]Classes 6 scénario 1'!I22</f>
        <v>262300</v>
      </c>
      <c r="I12" s="151">
        <f>+'[1]Classes 6 scénario 2'!I22</f>
        <v>442800</v>
      </c>
      <c r="K12" s="151">
        <f>+'[1]Classes 6 scénario 3'!I22</f>
        <v>302300</v>
      </c>
    </row>
    <row r="13" spans="2:11">
      <c r="B13" s="149" t="s">
        <v>605</v>
      </c>
      <c r="C13" s="151">
        <f>+'[1]Classes 6 scénario 1'!E85</f>
        <v>83050</v>
      </c>
      <c r="D13" s="35">
        <f>+'[1]Classes 6 scénario 1'!F85</f>
        <v>111368.20999999999</v>
      </c>
      <c r="E13" s="152">
        <f t="shared" si="0"/>
        <v>1.3409778446718843</v>
      </c>
      <c r="G13" s="151">
        <f>+'[1]Classes 6 scénario 1'!I85</f>
        <v>119400</v>
      </c>
      <c r="I13" s="151">
        <f>+'[1]Classes 6 scénario 2'!I85</f>
        <v>119400</v>
      </c>
      <c r="K13" s="151">
        <f>+'[1]Classes 6 scénario 3'!I85</f>
        <v>119400</v>
      </c>
    </row>
    <row r="14" spans="2:11">
      <c r="B14" s="149" t="s">
        <v>733</v>
      </c>
      <c r="C14" s="151">
        <f>+'[1]Classes 6 scénario 1'!E142</f>
        <v>342180</v>
      </c>
      <c r="D14" s="35">
        <f>+'[1]Classes 6 scénario 1'!F142</f>
        <v>345911.89</v>
      </c>
      <c r="E14" s="152">
        <f t="shared" si="0"/>
        <v>1.0109062189490912</v>
      </c>
      <c r="G14" s="151">
        <f>+'[1]Classes 6 scénario 1'!I142</f>
        <v>364180</v>
      </c>
      <c r="I14" s="151">
        <f>+'[1]Classes 6 scénario 2'!I142</f>
        <v>374180</v>
      </c>
      <c r="K14" s="151">
        <f>+'[1]Classes 6 scénario 3'!I142</f>
        <v>364180</v>
      </c>
    </row>
    <row r="15" spans="2:11">
      <c r="B15" s="149" t="s">
        <v>182</v>
      </c>
      <c r="C15" s="151">
        <f>'[1]Ventilation CLASSE 6'!E137</f>
        <v>40000</v>
      </c>
      <c r="D15" s="35">
        <f>'[1]Ventilation CLASSE 6'!F137</f>
        <v>36666.666666666664</v>
      </c>
      <c r="E15" s="152">
        <f t="shared" si="0"/>
        <v>0.91666666666666663</v>
      </c>
      <c r="G15" s="151">
        <f>'[1]Ventilation CLASSE 6'!I137</f>
        <v>40000</v>
      </c>
      <c r="I15" s="151">
        <f>'[1]Ventilation CLASSE 6'!K137</f>
        <v>40000</v>
      </c>
      <c r="K15" s="151">
        <f>'[1]Ventilation CLASSE 6'!M137</f>
        <v>40000</v>
      </c>
    </row>
    <row r="16" spans="2:11">
      <c r="B16" s="149" t="s">
        <v>192</v>
      </c>
      <c r="C16" s="151">
        <f>+'[1]Ventilation CLASSE 6'!E148</f>
        <v>0</v>
      </c>
      <c r="D16" s="35">
        <f>+'[1]Ventilation CLASSE 6'!F148</f>
        <v>230600</v>
      </c>
      <c r="E16" s="152">
        <v>0</v>
      </c>
      <c r="G16" s="151">
        <f>+'[1]Ventilation CLASSE 6'!I148</f>
        <v>0</v>
      </c>
      <c r="I16" s="151">
        <f>+'[1]Ventilation CLASSE 6'!K148</f>
        <v>0</v>
      </c>
      <c r="K16" s="151">
        <f>+'[1]Ventilation CLASSE 6'!M148</f>
        <v>0</v>
      </c>
    </row>
    <row r="17" spans="2:11">
      <c r="B17" s="149" t="s">
        <v>210</v>
      </c>
      <c r="C17" s="151">
        <f>'[1]Ventilation CLASSE 6'!E169</f>
        <v>2600</v>
      </c>
      <c r="D17" s="35">
        <f>'[1]Ventilation CLASSE 6'!F169</f>
        <v>1515.5</v>
      </c>
      <c r="E17" s="152">
        <f>+D17/C17</f>
        <v>0.58288461538461533</v>
      </c>
      <c r="G17" s="151">
        <f>'[1]Ventilation CLASSE 6'!I169</f>
        <v>2600</v>
      </c>
      <c r="I17" s="151">
        <f>'[1]Ventilation CLASSE 6'!K169</f>
        <v>2600</v>
      </c>
      <c r="K17" s="151">
        <f>'[1]Ventilation CLASSE 6'!M169</f>
        <v>2600</v>
      </c>
    </row>
    <row r="18" spans="2:11">
      <c r="B18" s="149" t="s">
        <v>84</v>
      </c>
      <c r="C18" s="151">
        <f>'[1]Ventilation CLASSE 6'!E184</f>
        <v>3042.66</v>
      </c>
      <c r="D18" s="35">
        <f>'[1]Ventilation CLASSE 6'!F184</f>
        <v>4828.5999999999995</v>
      </c>
      <c r="E18" s="152">
        <f>+D18/C18</f>
        <v>1.5869666673239862</v>
      </c>
      <c r="G18" s="151">
        <f>'[1]Ventilation CLASSE 6'!I184</f>
        <v>5162.8600000000006</v>
      </c>
      <c r="I18" s="151">
        <f>'[1]Ventilation CLASSE 6'!K184</f>
        <v>5162.8600000000006</v>
      </c>
      <c r="K18" s="151">
        <f>'[1]Ventilation CLASSE 6'!M184</f>
        <v>5162.8600000000006</v>
      </c>
    </row>
    <row r="19" spans="2:11">
      <c r="B19" s="149" t="s">
        <v>234</v>
      </c>
      <c r="C19" s="151">
        <f>+'[1]Ventilation CLASSE 6'!E199</f>
        <v>0</v>
      </c>
      <c r="D19" s="35">
        <f>+'[1]Ventilation CLASSE 6'!F199</f>
        <v>0</v>
      </c>
      <c r="E19" s="152">
        <v>0</v>
      </c>
      <c r="G19" s="151">
        <f>+'[1]Ventilation CLASSE 6'!I199</f>
        <v>0</v>
      </c>
      <c r="I19" s="151">
        <f>+'[1]Ventilation CLASSE 6'!K199</f>
        <v>0</v>
      </c>
      <c r="K19" s="151">
        <f>+'[1]Ventilation CLASSE 6'!M199</f>
        <v>0</v>
      </c>
    </row>
    <row r="20" spans="2:11">
      <c r="B20" s="149" t="s">
        <v>73</v>
      </c>
      <c r="C20" s="151">
        <f>'[1]Ventilation CLASSE 6'!E204</f>
        <v>389882</v>
      </c>
      <c r="D20" s="35">
        <f>'[1]Ventilation CLASSE 6'!F204</f>
        <v>252272.31833333327</v>
      </c>
      <c r="E20" s="152">
        <f>+D20/C20</f>
        <v>0.64704787174922995</v>
      </c>
      <c r="G20" s="151">
        <f>'[1]Ventilation CLASSE 6'!I204</f>
        <v>452650</v>
      </c>
      <c r="I20" s="151">
        <f>'[1]Ventilation CLASSE 6'!K204</f>
        <v>470750</v>
      </c>
      <c r="K20" s="151">
        <f>'[1]Ventilation CLASSE 6'!M204</f>
        <v>470750</v>
      </c>
    </row>
    <row r="21" spans="2:11" ht="8.1" customHeight="1">
      <c r="C21" s="153" t="s">
        <v>734</v>
      </c>
      <c r="D21" s="153" t="s">
        <v>734</v>
      </c>
      <c r="G21" s="153" t="s">
        <v>734</v>
      </c>
      <c r="I21" s="153" t="s">
        <v>734</v>
      </c>
      <c r="K21" s="153" t="s">
        <v>734</v>
      </c>
    </row>
    <row r="22" spans="2:11">
      <c r="C22" s="22">
        <f t="shared" ref="C22:D22" si="1">SUM(C5:C20)</f>
        <v>1296251.3999999999</v>
      </c>
      <c r="D22" s="22">
        <f t="shared" si="1"/>
        <v>1283402.8649999998</v>
      </c>
      <c r="G22" s="22">
        <f t="shared" ref="G22" si="2">SUM(G5:G20)</f>
        <v>1599712.54</v>
      </c>
      <c r="I22" s="22">
        <f t="shared" ref="I22:K22" si="3">SUM(I5:I20)</f>
        <v>1808312.54</v>
      </c>
      <c r="K22" s="22">
        <f t="shared" si="3"/>
        <v>1657812.54</v>
      </c>
    </row>
    <row r="23" spans="2:11" ht="8.1" customHeight="1"/>
    <row r="24" spans="2:11">
      <c r="B24" s="154" t="s">
        <v>735</v>
      </c>
      <c r="C24" s="155" t="str">
        <f>+C4</f>
        <v>BUDGET 2024</v>
      </c>
      <c r="D24" s="155" t="str">
        <f>+D4</f>
        <v>Au 27/11/2024</v>
      </c>
      <c r="G24" s="155" t="str">
        <f>+G4</f>
        <v>BUD 2025 base</v>
      </c>
      <c r="I24" s="155" t="str">
        <f>+I4</f>
        <v>BUD 2025 Adeps A</v>
      </c>
      <c r="K24" s="155" t="str">
        <f>+K4</f>
        <v>BUD 2025 Adeps B</v>
      </c>
    </row>
    <row r="25" spans="2:11">
      <c r="B25" s="149" t="s">
        <v>736</v>
      </c>
      <c r="C25" s="151">
        <f>+'[1]Ventilation CLASSE 7'!E7</f>
        <v>5500</v>
      </c>
      <c r="D25" s="151">
        <f>+'[1]Ventilation CLASSE 7'!F7</f>
        <v>1360</v>
      </c>
      <c r="E25" s="152">
        <f t="shared" ref="E25:E34" si="4">+D25/C25</f>
        <v>0.24727272727272728</v>
      </c>
      <c r="G25" s="151">
        <f>+'[1]Ventilation CLASSE 7'!I7</f>
        <v>5500</v>
      </c>
      <c r="I25" s="151">
        <f>+'[1]Ventilation CLASSE 7'!K7</f>
        <v>5500</v>
      </c>
      <c r="K25" s="151">
        <f>+'[1]Ventilation CLASSE 7'!M7</f>
        <v>5500</v>
      </c>
    </row>
    <row r="26" spans="2:11">
      <c r="B26" s="149" t="s">
        <v>58</v>
      </c>
      <c r="C26" s="151">
        <f>+'[1]Ventilation CLASSE 7'!E12</f>
        <v>67000</v>
      </c>
      <c r="D26" s="151">
        <f>+'[1]Ventilation CLASSE 7'!F12</f>
        <v>48811.479999999996</v>
      </c>
      <c r="E26" s="152">
        <f t="shared" si="4"/>
        <v>0.72852955223880589</v>
      </c>
      <c r="G26" s="151">
        <f>+'[1]Ventilation CLASSE 7'!I12</f>
        <v>67000</v>
      </c>
      <c r="I26" s="151">
        <f>+'[1]Ventilation CLASSE 7'!K12</f>
        <v>67000</v>
      </c>
      <c r="K26" s="151">
        <f>+'[1]Ventilation CLASSE 7'!M12</f>
        <v>67000</v>
      </c>
    </row>
    <row r="27" spans="2:11">
      <c r="B27" s="149" t="s">
        <v>60</v>
      </c>
      <c r="C27" s="151">
        <f>+'[1]Ventilation CLASSE 7'!E24</f>
        <v>5000</v>
      </c>
      <c r="D27" s="151">
        <f>+'[1]Ventilation CLASSE 7'!F24</f>
        <v>7570</v>
      </c>
      <c r="E27" s="152">
        <f t="shared" si="4"/>
        <v>1.514</v>
      </c>
      <c r="G27" s="151">
        <f>+'[1]Ventilation CLASSE 7'!I24</f>
        <v>5000</v>
      </c>
      <c r="I27" s="151">
        <f>+'[1]Ventilation CLASSE 7'!K24</f>
        <v>5000</v>
      </c>
      <c r="K27" s="151">
        <f>+'[1]Ventilation CLASSE 7'!M24</f>
        <v>5000</v>
      </c>
    </row>
    <row r="28" spans="2:11">
      <c r="B28" s="149" t="s">
        <v>62</v>
      </c>
      <c r="C28" s="151">
        <f>+'[1]Ventilation CLASSE 7'!E29</f>
        <v>6700</v>
      </c>
      <c r="D28" s="151">
        <f>+'[1]Ventilation CLASSE 7'!F29</f>
        <v>8017.0300000000007</v>
      </c>
      <c r="E28" s="152">
        <f t="shared" si="4"/>
        <v>1.1965716417910448</v>
      </c>
      <c r="G28" s="151">
        <f>+'[1]Ventilation CLASSE 7'!I29</f>
        <v>6700</v>
      </c>
      <c r="I28" s="151">
        <f>+'[1]Ventilation CLASSE 7'!K29</f>
        <v>6700</v>
      </c>
      <c r="K28" s="151">
        <f>+'[1]Ventilation CLASSE 7'!M29</f>
        <v>6700</v>
      </c>
    </row>
    <row r="29" spans="2:11">
      <c r="B29" s="149" t="s">
        <v>64</v>
      </c>
      <c r="C29" s="151">
        <f>+'[1]Ventilation CLASSE 7'!E35</f>
        <v>26000</v>
      </c>
      <c r="D29" s="151">
        <f>+'[1]Ventilation CLASSE 7'!F35</f>
        <v>69112.100000000006</v>
      </c>
      <c r="E29" s="152">
        <f t="shared" si="4"/>
        <v>2.6581576923076926</v>
      </c>
      <c r="G29" s="151">
        <f>+'[1]Ventilation CLASSE 7'!I35</f>
        <v>70500</v>
      </c>
      <c r="I29" s="151">
        <f>+'[1]Ventilation CLASSE 7'!K35</f>
        <v>70500</v>
      </c>
      <c r="K29" s="151">
        <f>+'[1]Ventilation CLASSE 7'!M35</f>
        <v>70500</v>
      </c>
    </row>
    <row r="30" spans="2:11">
      <c r="B30" s="149" t="s">
        <v>66</v>
      </c>
      <c r="C30" s="151">
        <f>+'[1]Ventilation CLASSE 7'!E46</f>
        <v>5000</v>
      </c>
      <c r="D30" s="151">
        <f>+'[1]Ventilation CLASSE 7'!F46</f>
        <v>0</v>
      </c>
      <c r="E30" s="152">
        <f t="shared" si="4"/>
        <v>0</v>
      </c>
      <c r="G30" s="151">
        <f>+'[1]Ventilation CLASSE 7'!I46</f>
        <v>5000</v>
      </c>
      <c r="I30" s="151">
        <f>+'[1]Ventilation CLASSE 7'!K46</f>
        <v>5000</v>
      </c>
      <c r="K30" s="151">
        <f>+'[1]Ventilation CLASSE 7'!M46</f>
        <v>5000</v>
      </c>
    </row>
    <row r="31" spans="2:11">
      <c r="B31" s="149" t="s">
        <v>68</v>
      </c>
      <c r="C31" s="151">
        <f>+'[1]Ventilation CLASSE 7'!E54</f>
        <v>13000</v>
      </c>
      <c r="D31" s="151">
        <f>+'[1]Ventilation CLASSE 7'!F54</f>
        <v>16288.460000000001</v>
      </c>
      <c r="E31" s="152">
        <f t="shared" si="4"/>
        <v>1.2529584615384617</v>
      </c>
      <c r="G31" s="151">
        <f>+'[1]Ventilation CLASSE 7'!I54</f>
        <v>13000</v>
      </c>
      <c r="I31" s="151">
        <f>+'[1]Ventilation CLASSE 7'!K54</f>
        <v>13000</v>
      </c>
      <c r="K31" s="151">
        <f>+'[1]Ventilation CLASSE 7'!M54</f>
        <v>13000</v>
      </c>
    </row>
    <row r="32" spans="2:11">
      <c r="B32" s="149" t="s">
        <v>70</v>
      </c>
      <c r="C32" s="151">
        <f>+'[1]Ventilation CLASSE 7'!E63</f>
        <v>1038899.56</v>
      </c>
      <c r="D32" s="151">
        <f>+'[1]Ventilation CLASSE 7'!F63</f>
        <v>1135463.8600000001</v>
      </c>
      <c r="E32" s="152">
        <f t="shared" si="4"/>
        <v>1.0929486388462808</v>
      </c>
      <c r="G32" s="151">
        <f>+'[1]Ventilation CLASSE 7'!I63</f>
        <v>1185630</v>
      </c>
      <c r="I32" s="151">
        <f>+'[1]Ventilation CLASSE 7'!K63</f>
        <v>1285630</v>
      </c>
      <c r="K32" s="151">
        <f>+'[1]Ventilation CLASSE 7'!M63</f>
        <v>1235630</v>
      </c>
    </row>
    <row r="33" spans="2:11">
      <c r="B33" s="149" t="s">
        <v>74</v>
      </c>
      <c r="C33" s="151">
        <f>+'[1]Ventilation CLASSE 7'!E113</f>
        <v>0</v>
      </c>
      <c r="D33" s="151">
        <f>+'[1]Ventilation CLASSE 7'!F113</f>
        <v>25.79</v>
      </c>
      <c r="E33" s="156" t="s">
        <v>737</v>
      </c>
      <c r="G33" s="151">
        <f>+'[1]Ventilation CLASSE 7'!I113</f>
        <v>0</v>
      </c>
      <c r="I33" s="151">
        <f>+'[1]Ventilation CLASSE 7'!K113</f>
        <v>0</v>
      </c>
      <c r="K33" s="151">
        <f>+'[1]Ventilation CLASSE 7'!M113</f>
        <v>0</v>
      </c>
    </row>
    <row r="34" spans="2:11">
      <c r="B34" s="149" t="s">
        <v>311</v>
      </c>
      <c r="C34" s="151">
        <f>+'[1]Ventilation CLASSE 7'!E122</f>
        <v>129151.84000000001</v>
      </c>
      <c r="D34" s="151">
        <f>+'[1]Ventilation CLASSE 7'!F122</f>
        <v>55000</v>
      </c>
      <c r="E34" s="152">
        <f t="shared" si="4"/>
        <v>0.42585533431037448</v>
      </c>
      <c r="G34" s="151">
        <f>+'[1]Ventilation CLASSE 7'!I122</f>
        <v>241382.54</v>
      </c>
      <c r="I34" s="151">
        <f>+'[1]Ventilation CLASSE 7'!K122</f>
        <v>249482.54</v>
      </c>
      <c r="K34" s="151">
        <f>+'[1]Ventilation CLASSE 7'!M122</f>
        <v>249482.54</v>
      </c>
    </row>
    <row r="35" spans="2:11">
      <c r="C35" s="153" t="s">
        <v>734</v>
      </c>
      <c r="D35" s="153" t="s">
        <v>734</v>
      </c>
      <c r="E35" s="152"/>
      <c r="G35" s="153" t="s">
        <v>734</v>
      </c>
      <c r="I35" s="153" t="s">
        <v>734</v>
      </c>
      <c r="K35" s="153" t="s">
        <v>734</v>
      </c>
    </row>
    <row r="36" spans="2:11">
      <c r="C36" s="22">
        <f>SUM(C25:C35)</f>
        <v>1296251.4000000001</v>
      </c>
      <c r="D36" s="22">
        <f t="shared" ref="D36" si="5">SUM(D25:D35)</f>
        <v>1341648.7200000002</v>
      </c>
      <c r="G36" s="22">
        <f>SUM(G25:G35)</f>
        <v>1599712.54</v>
      </c>
      <c r="I36" s="22">
        <f>SUM(I25:I35)</f>
        <v>1707812.54</v>
      </c>
      <c r="K36" s="22">
        <f>SUM(K25:K35)</f>
        <v>1657812.54</v>
      </c>
    </row>
    <row r="38" spans="2:11" ht="15" customHeight="1">
      <c r="G38" s="157" t="s">
        <v>738</v>
      </c>
      <c r="I38" s="158" t="s">
        <v>739</v>
      </c>
      <c r="K38" s="157" t="s">
        <v>738</v>
      </c>
    </row>
    <row r="39" spans="2:11">
      <c r="G39" s="434" t="s">
        <v>740</v>
      </c>
      <c r="H39" s="434"/>
      <c r="I39" s="434"/>
      <c r="J39" s="434"/>
      <c r="K39" s="434"/>
    </row>
    <row r="56" spans="2:3">
      <c r="B56" s="159"/>
    </row>
    <row r="57" spans="2:3">
      <c r="B57" s="159"/>
    </row>
    <row r="58" spans="2:3">
      <c r="B58" s="159"/>
    </row>
    <row r="59" spans="2:3">
      <c r="B59" s="159"/>
    </row>
    <row r="60" spans="2:3">
      <c r="B60" s="159"/>
    </row>
    <row r="61" spans="2:3">
      <c r="B61" s="159"/>
    </row>
    <row r="62" spans="2:3">
      <c r="B62" s="159"/>
    </row>
    <row r="63" spans="2:3">
      <c r="B63" s="159"/>
    </row>
    <row r="64" spans="2:3">
      <c r="B64" s="159"/>
      <c r="C64" s="160"/>
    </row>
    <row r="65" spans="2:3">
      <c r="B65" s="159"/>
    </row>
    <row r="66" spans="2:3">
      <c r="B66" s="159"/>
      <c r="C66" s="160"/>
    </row>
    <row r="67" spans="2:3">
      <c r="B67" s="159"/>
    </row>
    <row r="68" spans="2:3">
      <c r="B68" s="159"/>
    </row>
    <row r="69" spans="2:3">
      <c r="B69" s="159"/>
    </row>
    <row r="70" spans="2:3">
      <c r="B70" s="159"/>
    </row>
    <row r="71" spans="2:3">
      <c r="B71" s="159"/>
    </row>
    <row r="72" spans="2:3">
      <c r="B72" s="159"/>
    </row>
  </sheetData>
  <mergeCells count="1">
    <mergeCell ref="G39:K39"/>
  </mergeCells>
  <pageMargins left="0.2" right="0.2" top="0.25" bottom="0.2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FA576-8727-1445-8E5C-84507F96A583}">
  <dimension ref="B1:N33"/>
  <sheetViews>
    <sheetView topLeftCell="A5" workbookViewId="0">
      <selection activeCell="L13" sqref="L13"/>
    </sheetView>
  </sheetViews>
  <sheetFormatPr defaultColWidth="11" defaultRowHeight="15.75"/>
  <cols>
    <col min="1" max="2" width="2.875" customWidth="1"/>
    <col min="10" max="10" width="11.5" customWidth="1"/>
    <col min="14" max="14" width="3.375" customWidth="1"/>
    <col min="15" max="15" width="5.375" customWidth="1"/>
  </cols>
  <sheetData>
    <row r="1" spans="2:14" ht="21">
      <c r="B1" s="244" t="s">
        <v>25</v>
      </c>
      <c r="C1" s="245"/>
      <c r="D1" s="245"/>
      <c r="E1" s="245"/>
      <c r="F1" s="245"/>
      <c r="G1" s="245"/>
      <c r="H1" s="245"/>
    </row>
    <row r="2" spans="2:14" ht="6.95" customHeight="1"/>
    <row r="3" spans="2:14" ht="18.75">
      <c r="B3" s="217" t="s">
        <v>26</v>
      </c>
    </row>
    <row r="4" spans="2:14" ht="6.95" customHeight="1">
      <c r="C4" s="217"/>
    </row>
    <row r="5" spans="2:14" ht="23.25">
      <c r="B5" s="235" t="s">
        <v>27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7"/>
    </row>
    <row r="6" spans="2:14" ht="18.75">
      <c r="B6" s="238" t="s">
        <v>28</v>
      </c>
      <c r="N6" s="239"/>
    </row>
    <row r="7" spans="2:14" ht="20.25">
      <c r="B7" s="238" t="s">
        <v>29</v>
      </c>
      <c r="N7" s="239"/>
    </row>
    <row r="8" spans="2:14" ht="8.1" customHeight="1">
      <c r="B8" s="240"/>
      <c r="C8" s="219"/>
      <c r="N8" s="239"/>
    </row>
    <row r="9" spans="2:14" s="10" customFormat="1" ht="21">
      <c r="B9" s="241"/>
      <c r="C9" s="225" t="s">
        <v>30</v>
      </c>
      <c r="D9" s="226"/>
      <c r="E9" s="226"/>
      <c r="F9" s="226"/>
      <c r="G9" s="226"/>
      <c r="H9" s="226"/>
      <c r="I9" s="226"/>
      <c r="J9" s="227"/>
      <c r="N9" s="223"/>
    </row>
    <row r="10" spans="2:14" s="10" customFormat="1" ht="8.1" customHeight="1">
      <c r="B10" s="241"/>
      <c r="C10" s="228"/>
      <c r="D10" s="229"/>
      <c r="E10" s="229"/>
      <c r="F10" s="229"/>
      <c r="G10" s="229"/>
      <c r="H10" s="229"/>
      <c r="I10" s="229"/>
      <c r="J10" s="230"/>
      <c r="N10" s="223"/>
    </row>
    <row r="11" spans="2:14" s="10" customFormat="1" ht="21">
      <c r="B11" s="241"/>
      <c r="C11" s="228" t="s">
        <v>31</v>
      </c>
      <c r="D11" s="229"/>
      <c r="E11" s="229"/>
      <c r="F11" s="229"/>
      <c r="G11" s="229"/>
      <c r="H11" s="229"/>
      <c r="I11" s="229"/>
      <c r="J11" s="230"/>
      <c r="N11" s="223"/>
    </row>
    <row r="12" spans="2:14" s="10" customFormat="1" ht="21">
      <c r="B12" s="241"/>
      <c r="C12" s="228" t="s">
        <v>32</v>
      </c>
      <c r="D12" s="229"/>
      <c r="E12" s="229"/>
      <c r="F12" s="229"/>
      <c r="G12" s="229"/>
      <c r="H12" s="229"/>
      <c r="I12" s="229"/>
      <c r="J12" s="230"/>
      <c r="N12" s="223"/>
    </row>
    <row r="13" spans="2:14" s="10" customFormat="1" ht="8.1" customHeight="1">
      <c r="B13" s="241"/>
      <c r="C13" s="228"/>
      <c r="D13" s="229"/>
      <c r="E13" s="229"/>
      <c r="F13" s="229"/>
      <c r="G13" s="229"/>
      <c r="H13" s="229"/>
      <c r="I13" s="229"/>
      <c r="J13" s="230"/>
      <c r="N13" s="223"/>
    </row>
    <row r="14" spans="2:14" s="10" customFormat="1" ht="21">
      <c r="B14" s="241"/>
      <c r="C14" s="228" t="s">
        <v>33</v>
      </c>
      <c r="D14" s="229"/>
      <c r="E14" s="229"/>
      <c r="F14" s="229"/>
      <c r="G14" s="229"/>
      <c r="H14" s="229"/>
      <c r="I14" s="229"/>
      <c r="J14" s="230"/>
      <c r="N14" s="223"/>
    </row>
    <row r="15" spans="2:14" s="10" customFormat="1" ht="21">
      <c r="B15" s="241"/>
      <c r="C15" s="228" t="s">
        <v>34</v>
      </c>
      <c r="D15" s="229"/>
      <c r="E15" s="229"/>
      <c r="F15" s="229"/>
      <c r="G15" s="229"/>
      <c r="H15" s="229"/>
      <c r="I15" s="229"/>
      <c r="J15" s="230"/>
      <c r="N15" s="223"/>
    </row>
    <row r="16" spans="2:14" s="10" customFormat="1" ht="6.95" customHeight="1">
      <c r="B16" s="241"/>
      <c r="C16" s="228"/>
      <c r="D16" s="229"/>
      <c r="E16" s="229"/>
      <c r="F16" s="229"/>
      <c r="G16" s="229"/>
      <c r="H16" s="229"/>
      <c r="I16" s="229"/>
      <c r="J16" s="230"/>
      <c r="N16" s="223"/>
    </row>
    <row r="17" spans="2:14" s="10" customFormat="1" ht="21">
      <c r="B17" s="241"/>
      <c r="C17" s="228" t="s">
        <v>35</v>
      </c>
      <c r="D17" s="229"/>
      <c r="E17" s="229"/>
      <c r="F17" s="229"/>
      <c r="G17" s="229"/>
      <c r="H17" s="229"/>
      <c r="I17" s="229"/>
      <c r="J17" s="230"/>
      <c r="N17" s="223"/>
    </row>
    <row r="18" spans="2:14" s="10" customFormat="1" ht="21">
      <c r="B18" s="241"/>
      <c r="C18" s="231" t="s">
        <v>36</v>
      </c>
      <c r="D18" s="232"/>
      <c r="E18" s="232"/>
      <c r="F18" s="232"/>
      <c r="G18" s="232"/>
      <c r="H18" s="232"/>
      <c r="I18" s="232"/>
      <c r="J18" s="233"/>
      <c r="N18" s="223"/>
    </row>
    <row r="19" spans="2:14" ht="8.1" customHeight="1">
      <c r="B19" s="240"/>
      <c r="C19" s="219"/>
      <c r="N19" s="239"/>
    </row>
    <row r="20" spans="2:14" ht="21">
      <c r="B20" s="222" t="s">
        <v>37</v>
      </c>
      <c r="N20" s="239"/>
    </row>
    <row r="21" spans="2:14" ht="21">
      <c r="B21" s="224" t="s">
        <v>38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3"/>
    </row>
    <row r="22" spans="2:14" ht="8.1" customHeight="1">
      <c r="C22" s="219"/>
    </row>
    <row r="23" spans="2:14" ht="21">
      <c r="B23" s="218" t="s">
        <v>39</v>
      </c>
    </row>
    <row r="24" spans="2:14" ht="6.95" customHeight="1">
      <c r="B24" s="217"/>
    </row>
    <row r="25" spans="2:14" ht="23.25">
      <c r="B25" s="234" t="s">
        <v>40</v>
      </c>
    </row>
    <row r="26" spans="2:14" ht="23.25">
      <c r="B26" s="220" t="s">
        <v>41</v>
      </c>
    </row>
    <row r="27" spans="2:14" ht="23.25">
      <c r="B27" s="220" t="s">
        <v>42</v>
      </c>
    </row>
    <row r="28" spans="2:14" ht="23.25">
      <c r="B28" s="220" t="s">
        <v>43</v>
      </c>
    </row>
    <row r="29" spans="2:14" ht="23.25">
      <c r="B29" s="234" t="s">
        <v>44</v>
      </c>
    </row>
    <row r="30" spans="2:14" ht="12" customHeight="1"/>
    <row r="31" spans="2:14" s="221" customFormat="1" ht="23.25">
      <c r="B31" s="246" t="s">
        <v>45</v>
      </c>
      <c r="C31" s="247"/>
      <c r="D31" s="247"/>
      <c r="E31" s="247"/>
      <c r="F31" s="247"/>
      <c r="G31" s="247"/>
      <c r="H31" s="247"/>
      <c r="I31" s="247"/>
      <c r="J31" s="248"/>
    </row>
    <row r="32" spans="2:14" s="221" customFormat="1" ht="23.25">
      <c r="B32" s="249" t="s">
        <v>46</v>
      </c>
      <c r="C32" s="250"/>
      <c r="D32" s="250"/>
      <c r="E32" s="250"/>
      <c r="F32" s="250"/>
      <c r="G32" s="250"/>
      <c r="H32" s="250"/>
      <c r="I32" s="250"/>
      <c r="J32" s="251"/>
    </row>
    <row r="33" spans="2:10" s="221" customFormat="1" ht="23.25">
      <c r="B33" s="252" t="s">
        <v>47</v>
      </c>
      <c r="C33" s="253"/>
      <c r="D33" s="253"/>
      <c r="E33" s="253"/>
      <c r="F33" s="253"/>
      <c r="G33" s="253"/>
      <c r="H33" s="253"/>
      <c r="I33" s="253"/>
      <c r="J33" s="254"/>
    </row>
  </sheetData>
  <pageMargins left="0.2" right="0.2" top="0.25" bottom="0.2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B367-B2C2-0D4A-87BF-9B07D3CE8993}">
  <dimension ref="B1:V117"/>
  <sheetViews>
    <sheetView tabSelected="1" workbookViewId="0">
      <selection activeCell="W22" sqref="W22"/>
    </sheetView>
  </sheetViews>
  <sheetFormatPr defaultColWidth="10.875" defaultRowHeight="15"/>
  <cols>
    <col min="1" max="1" width="1.375" style="44" customWidth="1"/>
    <col min="2" max="2" width="3.375" style="44" customWidth="1"/>
    <col min="3" max="3" width="31.375" style="44" customWidth="1"/>
    <col min="4" max="4" width="4.875" style="44" hidden="1" customWidth="1"/>
    <col min="5" max="5" width="13.5" style="274" hidden="1" customWidth="1"/>
    <col min="6" max="6" width="0.625" style="191" hidden="1" customWidth="1"/>
    <col min="7" max="7" width="3.375" style="44" hidden="1" customWidth="1"/>
    <col min="8" max="8" width="1.875" style="44" customWidth="1"/>
    <col min="9" max="9" width="1" style="44" customWidth="1"/>
    <col min="10" max="10" width="1.875" style="44" hidden="1" customWidth="1"/>
    <col min="11" max="11" width="0.125" style="44" hidden="1" customWidth="1"/>
    <col min="12" max="12" width="16.25" style="44" customWidth="1"/>
    <col min="13" max="13" width="1.625" style="44" customWidth="1"/>
    <col min="14" max="14" width="1.125" style="44" customWidth="1"/>
    <col min="15" max="15" width="31.875" style="44" customWidth="1"/>
    <col min="16" max="16" width="0.625" style="44" hidden="1" customWidth="1"/>
    <col min="17" max="17" width="13.5" style="44" hidden="1" customWidth="1"/>
    <col min="18" max="18" width="6.75" style="44" customWidth="1"/>
    <col min="19" max="19" width="1.875" style="44" hidden="1" customWidth="1"/>
    <col min="20" max="20" width="6.5" style="44" customWidth="1"/>
    <col min="21" max="21" width="19" style="44" customWidth="1"/>
    <col min="22" max="16384" width="10.875" style="44"/>
  </cols>
  <sheetData>
    <row r="1" spans="2:21" ht="39" customHeight="1">
      <c r="B1" s="363"/>
      <c r="C1" s="363"/>
      <c r="D1" s="173" t="s">
        <v>48</v>
      </c>
      <c r="E1" s="276" t="s">
        <v>49</v>
      </c>
      <c r="F1" s="277"/>
      <c r="G1" s="173" t="s">
        <v>50</v>
      </c>
      <c r="H1" s="278"/>
      <c r="I1" s="278"/>
      <c r="J1" s="279" t="s">
        <v>51</v>
      </c>
      <c r="K1" s="280"/>
      <c r="L1" s="279" t="s">
        <v>52</v>
      </c>
      <c r="M1" s="278"/>
      <c r="N1" s="48"/>
      <c r="O1" s="363"/>
      <c r="P1" s="363"/>
      <c r="Q1" s="276" t="s">
        <v>53</v>
      </c>
      <c r="R1" s="364"/>
      <c r="S1" s="279" t="s">
        <v>51</v>
      </c>
      <c r="T1" s="364"/>
      <c r="U1" s="279" t="s">
        <v>52</v>
      </c>
    </row>
    <row r="2" spans="2:21" ht="21.75" thickBot="1">
      <c r="B2" s="218" t="s">
        <v>54</v>
      </c>
      <c r="C2" s="363"/>
      <c r="D2" s="278"/>
      <c r="E2" s="328"/>
      <c r="F2" s="277"/>
      <c r="G2" s="281"/>
      <c r="H2" s="281"/>
      <c r="I2" s="281"/>
      <c r="J2" s="329"/>
      <c r="K2" s="280"/>
      <c r="L2" s="435"/>
      <c r="M2" s="281"/>
      <c r="N2" s="48"/>
      <c r="O2" s="363"/>
      <c r="P2" s="363"/>
      <c r="Q2" s="330"/>
      <c r="R2" s="364"/>
      <c r="S2" s="331"/>
      <c r="T2" s="364"/>
      <c r="U2" s="331"/>
    </row>
    <row r="3" spans="2:21" ht="15.75" thickBot="1">
      <c r="B3" s="363"/>
      <c r="C3" s="282" t="s">
        <v>55</v>
      </c>
      <c r="D3" s="283" t="e">
        <f>+#REF!</f>
        <v>#REF!</v>
      </c>
      <c r="E3" s="284" t="e">
        <f>+#REF!</f>
        <v>#REF!</v>
      </c>
      <c r="F3" s="285" t="e">
        <f>+E3/D3</f>
        <v>#REF!</v>
      </c>
      <c r="G3" s="281"/>
      <c r="H3" s="281"/>
      <c r="I3" s="281"/>
      <c r="J3" s="283" t="e">
        <f>+'Claase 6'!#REF!</f>
        <v>#REF!</v>
      </c>
      <c r="K3" s="286"/>
      <c r="L3" s="283">
        <f>+'Claase 6'!E3</f>
        <v>3000</v>
      </c>
      <c r="M3" s="281"/>
      <c r="N3" s="48"/>
      <c r="O3" s="290" t="s">
        <v>56</v>
      </c>
      <c r="P3" s="363"/>
      <c r="Q3" s="192">
        <f>+'Claase 7'!J2</f>
        <v>5500</v>
      </c>
      <c r="R3" s="363"/>
      <c r="S3" s="192">
        <f>+'Claase 7'!L2</f>
        <v>820</v>
      </c>
      <c r="T3" s="363"/>
      <c r="U3" s="192">
        <f>+'Claase 7'!O2</f>
        <v>1000</v>
      </c>
    </row>
    <row r="4" spans="2:21" ht="8.1" customHeight="1" thickBot="1">
      <c r="B4" s="363"/>
      <c r="C4" s="363"/>
      <c r="D4" s="47"/>
      <c r="E4" s="85"/>
      <c r="F4" s="47"/>
      <c r="G4" s="47"/>
      <c r="H4" s="47"/>
      <c r="I4" s="47"/>
      <c r="J4" s="47"/>
      <c r="K4" s="47"/>
      <c r="L4" s="47"/>
      <c r="M4" s="47"/>
      <c r="N4" s="48"/>
      <c r="O4" s="363"/>
      <c r="P4" s="363"/>
      <c r="Q4" s="118"/>
      <c r="R4" s="363"/>
      <c r="S4" s="118"/>
      <c r="T4" s="363"/>
      <c r="U4" s="118"/>
    </row>
    <row r="5" spans="2:21" ht="15.75" thickBot="1">
      <c r="B5" s="363"/>
      <c r="C5" s="282" t="s">
        <v>57</v>
      </c>
      <c r="D5" s="194" t="e">
        <f>+#REF!+#REF!+#REF!+#REF!+#REF!+#REF!+#REF!+#REF!+#REF!+#REF!</f>
        <v>#REF!</v>
      </c>
      <c r="E5" s="287" t="e">
        <f>+#REF!+#REF!+#REF!+#REF!+#REF!+#REF!+#REF!+#REF!+#REF!+#REF!+#REF!</f>
        <v>#REF!</v>
      </c>
      <c r="F5" s="285" t="e">
        <f>+E5/D5</f>
        <v>#REF!</v>
      </c>
      <c r="G5" s="281"/>
      <c r="H5" s="281"/>
      <c r="I5" s="281"/>
      <c r="J5" s="194" t="e">
        <f>+'Claase 6'!#REF!</f>
        <v>#REF!</v>
      </c>
      <c r="K5" s="288"/>
      <c r="L5" s="194">
        <f>+'Claase 6'!E9</f>
        <v>37000</v>
      </c>
      <c r="M5" s="281"/>
      <c r="N5" s="48"/>
      <c r="O5" s="282" t="s">
        <v>58</v>
      </c>
      <c r="P5" s="363"/>
      <c r="Q5" s="192">
        <f>+'Claase 7'!J7</f>
        <v>67000</v>
      </c>
      <c r="R5" s="363"/>
      <c r="S5" s="192">
        <f>+'Claase 7'!L7</f>
        <v>56685</v>
      </c>
      <c r="T5" s="363"/>
      <c r="U5" s="192">
        <f>+'Claase 7'!O7</f>
        <v>57000</v>
      </c>
    </row>
    <row r="6" spans="2:21" ht="8.1" customHeight="1" thickBot="1">
      <c r="B6" s="363"/>
      <c r="C6" s="363"/>
      <c r="D6" s="47"/>
      <c r="E6" s="85"/>
      <c r="F6" s="47"/>
      <c r="G6" s="47"/>
      <c r="H6" s="47"/>
      <c r="I6" s="47"/>
      <c r="J6" s="47"/>
      <c r="K6" s="47"/>
      <c r="L6" s="47"/>
      <c r="M6" s="47"/>
      <c r="N6" s="48"/>
      <c r="O6" s="363"/>
      <c r="P6" s="363"/>
      <c r="Q6" s="118"/>
      <c r="R6" s="363"/>
      <c r="S6" s="118"/>
      <c r="T6" s="363"/>
      <c r="U6" s="118"/>
    </row>
    <row r="7" spans="2:21" ht="15.75" thickBot="1">
      <c r="B7" s="363"/>
      <c r="C7" s="282" t="s">
        <v>59</v>
      </c>
      <c r="D7" s="192" t="e">
        <f>+#REF!+#REF!+#REF!+#REF!+#REF!+#REF!+#REF!+#REF!+#REF!+#REF!</f>
        <v>#REF!</v>
      </c>
      <c r="E7" s="287" t="e">
        <f>+#REF!+#REF!+#REF!+#REF!+#REF!+#REF!+#REF!+#REF!+#REF!+#REF!</f>
        <v>#REF!</v>
      </c>
      <c r="F7" s="285" t="e">
        <f>+E7/D7</f>
        <v>#REF!</v>
      </c>
      <c r="G7" s="281"/>
      <c r="H7" s="281"/>
      <c r="I7" s="281"/>
      <c r="J7" s="192" t="e">
        <f>+'Claase 6'!#REF!</f>
        <v>#REF!</v>
      </c>
      <c r="K7" s="288"/>
      <c r="L7" s="192">
        <f>+'Claase 6'!E15</f>
        <v>46500</v>
      </c>
      <c r="M7" s="281"/>
      <c r="N7" s="48"/>
      <c r="O7" s="282" t="s">
        <v>60</v>
      </c>
      <c r="P7" s="363"/>
      <c r="Q7" s="192">
        <f>+'Claase 7'!J19</f>
        <v>5000</v>
      </c>
      <c r="R7" s="363"/>
      <c r="S7" s="192">
        <f>+'Claase 7'!L19</f>
        <v>2765</v>
      </c>
      <c r="T7" s="363"/>
      <c r="U7" s="192">
        <f>+'Claase 7'!O19</f>
        <v>3000</v>
      </c>
    </row>
    <row r="8" spans="2:21" ht="8.1" customHeight="1" thickBot="1">
      <c r="B8" s="363"/>
      <c r="C8" s="363"/>
      <c r="D8" s="73"/>
      <c r="E8" s="88"/>
      <c r="F8" s="47"/>
      <c r="G8" s="5"/>
      <c r="H8" s="5"/>
      <c r="I8" s="5"/>
      <c r="J8" s="73"/>
      <c r="K8" s="5"/>
      <c r="L8" s="73"/>
      <c r="M8" s="5"/>
      <c r="N8" s="48"/>
      <c r="O8" s="363"/>
      <c r="P8" s="363"/>
      <c r="Q8" s="118"/>
      <c r="R8" s="363"/>
      <c r="S8" s="118"/>
      <c r="T8" s="363"/>
      <c r="U8" s="118"/>
    </row>
    <row r="9" spans="2:21" ht="15.75" thickBot="1">
      <c r="B9" s="363"/>
      <c r="C9" s="282" t="s">
        <v>61</v>
      </c>
      <c r="D9" s="289" t="e">
        <f>SUM(#REF!)</f>
        <v>#REF!</v>
      </c>
      <c r="E9" s="284" t="e">
        <f>#REF!+SUM(#REF!)</f>
        <v>#REF!</v>
      </c>
      <c r="F9" s="285" t="e">
        <f>+E9/D9</f>
        <v>#REF!</v>
      </c>
      <c r="G9" s="281"/>
      <c r="H9" s="281"/>
      <c r="I9" s="281"/>
      <c r="J9" s="289" t="e">
        <f>+'Claase 6'!#REF!</f>
        <v>#REF!</v>
      </c>
      <c r="K9" s="288"/>
      <c r="L9" s="289">
        <f>+'Claase 6'!E27</f>
        <v>7500</v>
      </c>
      <c r="M9" s="281"/>
      <c r="N9" s="48"/>
      <c r="O9" s="282" t="s">
        <v>62</v>
      </c>
      <c r="P9" s="363"/>
      <c r="Q9" s="192">
        <f>+'Claase 7'!J24</f>
        <v>6700</v>
      </c>
      <c r="R9" s="363"/>
      <c r="S9" s="192">
        <f>+'Claase 7'!L24</f>
        <v>5810.55</v>
      </c>
      <c r="T9" s="363"/>
      <c r="U9" s="192">
        <f>+'Claase 7'!O24</f>
        <v>6000</v>
      </c>
    </row>
    <row r="10" spans="2:21" ht="8.1" customHeight="1" thickBot="1">
      <c r="B10" s="363"/>
      <c r="C10" s="363"/>
      <c r="D10" s="47"/>
      <c r="E10" s="85"/>
      <c r="F10" s="47"/>
      <c r="G10" s="47"/>
      <c r="H10" s="47"/>
      <c r="I10" s="47"/>
      <c r="J10" s="47"/>
      <c r="K10" s="47"/>
      <c r="L10" s="47"/>
      <c r="M10" s="47"/>
      <c r="N10" s="48"/>
      <c r="O10" s="363"/>
      <c r="P10" s="363"/>
      <c r="Q10" s="118"/>
      <c r="R10" s="363"/>
      <c r="S10" s="118"/>
      <c r="T10" s="363"/>
      <c r="U10" s="118"/>
    </row>
    <row r="11" spans="2:21" ht="15.75" thickBot="1">
      <c r="B11" s="363"/>
      <c r="C11" s="282" t="s">
        <v>63</v>
      </c>
      <c r="D11" s="192" t="e">
        <f>+#REF!+#REF!+#REF!+#REF!</f>
        <v>#REF!</v>
      </c>
      <c r="E11" s="287" t="e">
        <f>#REF!+#REF!+#REF!+#REF!</f>
        <v>#REF!</v>
      </c>
      <c r="F11" s="285" t="e">
        <f>+E11/D11</f>
        <v>#REF!</v>
      </c>
      <c r="G11" s="281"/>
      <c r="H11" s="281"/>
      <c r="I11" s="281"/>
      <c r="J11" s="192" t="e">
        <f>+'Claase 6'!#REF!</f>
        <v>#REF!</v>
      </c>
      <c r="K11" s="288"/>
      <c r="L11" s="192">
        <f>+'Claase 6'!E32</f>
        <v>30900</v>
      </c>
      <c r="M11" s="281"/>
      <c r="N11" s="48"/>
      <c r="O11" s="282" t="s">
        <v>64</v>
      </c>
      <c r="P11" s="363"/>
      <c r="Q11" s="192">
        <f>+'Claase 7'!J30</f>
        <v>70500</v>
      </c>
      <c r="R11" s="363"/>
      <c r="S11" s="192">
        <f>+'Claase 7'!L30</f>
        <v>71564.05</v>
      </c>
      <c r="T11" s="363"/>
      <c r="U11" s="192">
        <f>+'Claase 7'!O30</f>
        <v>3100</v>
      </c>
    </row>
    <row r="12" spans="2:21" ht="8.1" customHeight="1" thickBot="1">
      <c r="B12" s="363"/>
      <c r="C12" s="363"/>
      <c r="D12" s="47"/>
      <c r="E12" s="85"/>
      <c r="F12" s="47"/>
      <c r="G12" s="47"/>
      <c r="H12" s="47"/>
      <c r="I12" s="47"/>
      <c r="J12" s="47"/>
      <c r="K12" s="47"/>
      <c r="L12" s="47"/>
      <c r="M12" s="47"/>
      <c r="N12" s="48"/>
      <c r="O12" s="363"/>
      <c r="P12" s="363"/>
      <c r="Q12" s="118"/>
      <c r="R12" s="363"/>
      <c r="S12" s="118"/>
      <c r="T12" s="363"/>
      <c r="U12" s="118"/>
    </row>
    <row r="13" spans="2:21" ht="15.75" thickBot="1">
      <c r="B13" s="363"/>
      <c r="C13" s="282" t="s">
        <v>65</v>
      </c>
      <c r="D13" s="192" t="e">
        <f>+#REF!+#REF!+#REF!+#REF!+#REF!</f>
        <v>#REF!</v>
      </c>
      <c r="E13" s="287" t="e">
        <f>+#REF!+#REF!+#REF!+#REF!+#REF!</f>
        <v>#REF!</v>
      </c>
      <c r="F13" s="285" t="e">
        <f>+E13/D13</f>
        <v>#REF!</v>
      </c>
      <c r="G13" s="281"/>
      <c r="H13" s="281"/>
      <c r="I13" s="281"/>
      <c r="J13" s="192" t="e">
        <f>+'Claase 6'!#REF!</f>
        <v>#REF!</v>
      </c>
      <c r="K13" s="288"/>
      <c r="L13" s="192">
        <f>+'Claase 6'!E42</f>
        <v>161500</v>
      </c>
      <c r="M13" s="281"/>
      <c r="N13" s="48"/>
      <c r="O13" s="282" t="s">
        <v>66</v>
      </c>
      <c r="P13" s="363"/>
      <c r="Q13" s="192">
        <f>+'Claase 7'!J40</f>
        <v>5000</v>
      </c>
      <c r="R13" s="363"/>
      <c r="S13" s="192">
        <f>+'Claase 7'!L40</f>
        <v>7500</v>
      </c>
      <c r="T13" s="363"/>
      <c r="U13" s="192">
        <f>+'Claase 7'!O40</f>
        <v>12500</v>
      </c>
    </row>
    <row r="14" spans="2:21" ht="8.1" customHeight="1" thickBot="1">
      <c r="B14" s="363"/>
      <c r="C14" s="363"/>
      <c r="D14" s="47"/>
      <c r="E14" s="85"/>
      <c r="F14" s="47"/>
      <c r="G14" s="47"/>
      <c r="H14" s="47"/>
      <c r="I14" s="47"/>
      <c r="J14" s="47"/>
      <c r="K14" s="47"/>
      <c r="L14" s="47"/>
      <c r="M14" s="47"/>
      <c r="N14" s="48"/>
      <c r="O14" s="363"/>
      <c r="P14" s="363"/>
      <c r="Q14" s="118"/>
      <c r="R14" s="363"/>
      <c r="S14" s="118"/>
      <c r="T14" s="363"/>
      <c r="U14" s="118"/>
    </row>
    <row r="15" spans="2:21" ht="15.75" thickBot="1">
      <c r="B15" s="363"/>
      <c r="C15" s="282" t="s">
        <v>67</v>
      </c>
      <c r="D15" s="192" t="e">
        <f>SUM(#REF!)</f>
        <v>#REF!</v>
      </c>
      <c r="E15" s="287" t="e">
        <f>+#REF!+#REF!+#REF!+#REF!+#REF!+#REF!+#REF!+#REF!+#REF!</f>
        <v>#REF!</v>
      </c>
      <c r="F15" s="285" t="e">
        <f>+E15/D15</f>
        <v>#REF!</v>
      </c>
      <c r="G15" s="281"/>
      <c r="H15" s="281"/>
      <c r="I15" s="281"/>
      <c r="J15" s="192" t="e">
        <f>+'Claase 6'!#REF!</f>
        <v>#REF!</v>
      </c>
      <c r="K15" s="288"/>
      <c r="L15" s="192">
        <f>+'Claase 6'!E54</f>
        <v>18000</v>
      </c>
      <c r="M15" s="281"/>
      <c r="N15" s="48"/>
      <c r="O15" s="282" t="s">
        <v>68</v>
      </c>
      <c r="P15" s="363"/>
      <c r="Q15" s="192">
        <f>+'Claase 7'!J46</f>
        <v>13000</v>
      </c>
      <c r="R15" s="363"/>
      <c r="S15" s="192">
        <f>+'Claase 7'!L46</f>
        <v>18110.87</v>
      </c>
      <c r="T15" s="363"/>
      <c r="U15" s="192">
        <f>+'Claase 7'!O46</f>
        <v>23000</v>
      </c>
    </row>
    <row r="16" spans="2:21" ht="8.1" customHeight="1" thickBot="1">
      <c r="B16" s="363"/>
      <c r="C16" s="363"/>
      <c r="D16" s="53"/>
      <c r="E16" s="88"/>
      <c r="F16" s="47"/>
      <c r="G16" s="5"/>
      <c r="H16" s="5"/>
      <c r="I16" s="5"/>
      <c r="J16" s="53"/>
      <c r="K16" s="5"/>
      <c r="L16" s="53"/>
      <c r="M16" s="5"/>
      <c r="N16" s="48"/>
      <c r="O16" s="363"/>
      <c r="P16" s="363"/>
      <c r="Q16" s="363"/>
      <c r="R16" s="363"/>
      <c r="S16" s="363"/>
      <c r="T16" s="363"/>
      <c r="U16" s="363"/>
    </row>
    <row r="17" spans="2:22" ht="15.75" thickBot="1">
      <c r="B17" s="363"/>
      <c r="C17" s="282" t="s">
        <v>69</v>
      </c>
      <c r="D17" s="192" t="e">
        <f>+#REF!+#REF!+#REF!+#REF!+#REF!</f>
        <v>#REF!</v>
      </c>
      <c r="E17" s="193" t="e">
        <f>+#REF!+#REF!+#REF!+#REF!+#REF!</f>
        <v>#REF!</v>
      </c>
      <c r="F17" s="285" t="e">
        <f>+E17/D17</f>
        <v>#REF!</v>
      </c>
      <c r="G17" s="281"/>
      <c r="H17" s="281"/>
      <c r="I17" s="281"/>
      <c r="J17" s="192" t="e">
        <f>+'Claase 6'!#REF!</f>
        <v>#REF!</v>
      </c>
      <c r="K17" s="288"/>
      <c r="L17" s="192">
        <f>+'Claase 6'!E59</f>
        <v>15000</v>
      </c>
      <c r="M17" s="281"/>
      <c r="N17" s="48"/>
      <c r="O17" s="282" t="s">
        <v>70</v>
      </c>
      <c r="P17" s="363"/>
      <c r="Q17" s="289">
        <f>+'Claase 7'!J53</f>
        <v>992000</v>
      </c>
      <c r="R17" s="363"/>
      <c r="S17" s="289">
        <f>+'Claase 7'!L53</f>
        <v>614613.23</v>
      </c>
      <c r="T17" s="363"/>
      <c r="U17" s="289">
        <f>+'Claase 7'!O53</f>
        <v>1296200</v>
      </c>
      <c r="V17" s="363"/>
    </row>
    <row r="18" spans="2:22" ht="8.1" customHeight="1" thickBot="1">
      <c r="B18" s="363"/>
      <c r="C18" s="363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363"/>
      <c r="P18" s="363"/>
      <c r="Q18" s="131"/>
      <c r="R18" s="363"/>
      <c r="S18" s="131"/>
      <c r="T18" s="363"/>
      <c r="U18" s="131"/>
      <c r="V18" s="363"/>
    </row>
    <row r="19" spans="2:22" ht="15.75" thickBot="1">
      <c r="B19" s="363"/>
      <c r="C19" s="282" t="s">
        <v>71</v>
      </c>
      <c r="D19" s="192" t="e">
        <f>+#REF!+#REF!+#REF!+#REF!+#REF!+#REF!+#REF!+#REF!+#REF!+#REF!+#REF!+#REF!+#REF!+#REF!</f>
        <v>#REF!</v>
      </c>
      <c r="E19" s="193" t="e">
        <f>+#REF!+#REF!+#REF!+#REF!+#REF!+#REF!+#REF!+#REF!+#REF!+#REF!+#REF!+#REF!+#REF!+#REF!</f>
        <v>#REF!</v>
      </c>
      <c r="F19" s="285" t="e">
        <f>+E19/D19</f>
        <v>#REF!</v>
      </c>
      <c r="G19" s="281"/>
      <c r="H19" s="281"/>
      <c r="I19" s="281"/>
      <c r="J19" s="192" t="e">
        <f>+'Claase 6'!#REF!</f>
        <v>#REF!</v>
      </c>
      <c r="K19" s="286"/>
      <c r="L19" s="192">
        <f>+'Claase 6'!E65</f>
        <v>109739</v>
      </c>
      <c r="M19" s="281"/>
      <c r="N19" s="48"/>
      <c r="O19" s="282" t="s">
        <v>72</v>
      </c>
      <c r="P19" s="363"/>
      <c r="Q19" s="192">
        <f>+'Claase 7'!J82</f>
        <v>6130</v>
      </c>
      <c r="R19" s="363"/>
      <c r="S19" s="192">
        <f>+'Claase 7'!L82</f>
        <v>10592.11</v>
      </c>
      <c r="T19" s="363"/>
      <c r="U19" s="192">
        <f>+'Claase 7'!O82</f>
        <v>2000</v>
      </c>
      <c r="V19" s="363"/>
    </row>
    <row r="20" spans="2:22" ht="8.1" customHeight="1" thickBot="1">
      <c r="B20" s="363"/>
      <c r="C20" s="363"/>
      <c r="D20" s="47"/>
      <c r="E20" s="47"/>
      <c r="F20" s="47"/>
      <c r="G20" s="47"/>
      <c r="H20" s="47"/>
      <c r="I20" s="47"/>
      <c r="J20" s="73"/>
      <c r="K20" s="47"/>
      <c r="L20" s="73"/>
      <c r="M20" s="47"/>
      <c r="N20" s="48"/>
      <c r="O20" s="363"/>
      <c r="P20" s="5"/>
      <c r="Q20" s="5"/>
      <c r="R20" s="5"/>
      <c r="S20" s="5"/>
      <c r="T20" s="5"/>
      <c r="U20" s="5"/>
      <c r="V20" s="363"/>
    </row>
    <row r="21" spans="2:22" ht="15.75" thickBot="1">
      <c r="B21" s="363"/>
      <c r="C21" s="282" t="s">
        <v>73</v>
      </c>
      <c r="D21" s="194" t="e">
        <f>+#REF!+#REF!+#REF!+#REF!+#REF!+#REF!+#REF!+#REF!+#REF!+#REF!+#REF!+#REF!+#REF!+#REF!+#REF!</f>
        <v>#REF!</v>
      </c>
      <c r="E21" s="291" t="e">
        <f>+#REF!+#REF!+#REF!+#REF!+#REF!+#REF!+#REF!+#REF!+#REF!+#REF!+#REF!+#REF!+#REF!+#REF!+#REF!</f>
        <v>#REF!</v>
      </c>
      <c r="F21" s="285" t="e">
        <f>+E21/D21</f>
        <v>#REF!</v>
      </c>
      <c r="G21" s="281"/>
      <c r="H21" s="281"/>
      <c r="I21" s="281"/>
      <c r="J21" s="194" t="e">
        <f>+'Claase 6'!#REF!</f>
        <v>#REF!</v>
      </c>
      <c r="K21" s="288"/>
      <c r="L21" s="193">
        <f>+'Claase 6'!E74</f>
        <v>215298.78</v>
      </c>
      <c r="M21" s="281"/>
      <c r="N21" s="48"/>
      <c r="O21" s="282" t="s">
        <v>74</v>
      </c>
      <c r="P21" s="363"/>
      <c r="Q21" s="192">
        <f>+'Claase 7'!J92</f>
        <v>0</v>
      </c>
      <c r="R21" s="363"/>
      <c r="S21" s="192">
        <f>+'Claase 7'!L92</f>
        <v>17.93</v>
      </c>
      <c r="T21" s="363"/>
      <c r="U21" s="192">
        <f>+'Claase 7'!O92</f>
        <v>0</v>
      </c>
      <c r="V21" s="363"/>
    </row>
    <row r="22" spans="2:22" ht="6.95" customHeight="1">
      <c r="B22" s="363"/>
      <c r="C22" s="310"/>
      <c r="D22" s="311"/>
      <c r="E22" s="311"/>
      <c r="F22" s="312"/>
      <c r="G22" s="281"/>
      <c r="H22" s="281"/>
      <c r="I22" s="281"/>
      <c r="J22" s="311"/>
      <c r="K22" s="311"/>
      <c r="L22" s="311"/>
      <c r="M22" s="281"/>
      <c r="N22" s="48"/>
      <c r="O22" s="313"/>
      <c r="P22" s="363"/>
      <c r="Q22" s="311"/>
      <c r="R22" s="363"/>
      <c r="S22" s="311"/>
      <c r="T22" s="363"/>
      <c r="U22" s="311"/>
      <c r="V22" s="363"/>
    </row>
    <row r="23" spans="2:22" ht="21.75" thickBot="1">
      <c r="B23" s="218" t="s">
        <v>75</v>
      </c>
      <c r="C23" s="310"/>
      <c r="D23" s="311"/>
      <c r="E23" s="311"/>
      <c r="F23" s="312"/>
      <c r="G23" s="281"/>
      <c r="H23" s="281"/>
      <c r="I23" s="281"/>
      <c r="J23" s="311"/>
      <c r="K23" s="311"/>
      <c r="L23" s="311"/>
      <c r="M23" s="281"/>
      <c r="N23" s="48"/>
      <c r="O23" s="313"/>
      <c r="P23" s="363"/>
      <c r="Q23" s="311"/>
      <c r="R23" s="363"/>
      <c r="S23" s="311"/>
      <c r="T23" s="363"/>
      <c r="U23" s="311"/>
      <c r="V23" s="363"/>
    </row>
    <row r="24" spans="2:22" ht="30.75" thickBot="1">
      <c r="B24" s="363"/>
      <c r="C24" s="282" t="s">
        <v>76</v>
      </c>
      <c r="D24" s="289" t="e">
        <f>SUM(#REF!)</f>
        <v>#REF!</v>
      </c>
      <c r="E24" s="284" t="e">
        <f>+#REF!</f>
        <v>#REF!</v>
      </c>
      <c r="F24" s="285" t="e">
        <f>+E24/D24</f>
        <v>#REF!</v>
      </c>
      <c r="G24" s="281"/>
      <c r="H24" s="281"/>
      <c r="I24" s="281"/>
      <c r="J24" s="193" t="e">
        <f>+'Claase 6'!#REF!</f>
        <v>#REF!</v>
      </c>
      <c r="K24" s="288"/>
      <c r="L24" s="193">
        <f>+'Claase 6'!E78</f>
        <v>492666.36</v>
      </c>
      <c r="M24" s="281"/>
      <c r="N24" s="48"/>
      <c r="O24" s="310" t="s">
        <v>77</v>
      </c>
      <c r="P24" s="363"/>
      <c r="Q24" s="311">
        <f>SUM(Q3:Q21)</f>
        <v>1170830</v>
      </c>
      <c r="R24" s="363"/>
      <c r="S24" s="311"/>
      <c r="T24" s="363"/>
      <c r="U24" s="311">
        <f>SUM(U3:U21)</f>
        <v>1403800</v>
      </c>
      <c r="V24" s="363"/>
    </row>
    <row r="25" spans="2:22" ht="8.1" customHeight="1" thickBot="1">
      <c r="B25" s="363"/>
      <c r="C25" s="363"/>
      <c r="D25" s="47"/>
      <c r="E25" s="85"/>
      <c r="F25" s="47"/>
      <c r="G25" s="47"/>
      <c r="H25" s="47"/>
      <c r="I25" s="47"/>
      <c r="J25" s="47"/>
      <c r="K25" s="47"/>
      <c r="L25" s="47"/>
      <c r="M25" s="5"/>
      <c r="N25" s="48"/>
      <c r="O25" s="363"/>
      <c r="P25" s="363"/>
      <c r="Q25" s="131"/>
      <c r="R25" s="363"/>
      <c r="S25" s="131"/>
      <c r="T25" s="363"/>
      <c r="U25" s="131"/>
      <c r="V25" s="363"/>
    </row>
    <row r="26" spans="2:22" ht="18.95" customHeight="1" thickBot="1">
      <c r="B26" s="363"/>
      <c r="C26" s="282" t="s">
        <v>78</v>
      </c>
      <c r="D26" s="288" t="e">
        <f>SUM(#REF!)</f>
        <v>#REF!</v>
      </c>
      <c r="E26" s="292" t="e">
        <f>SUM(#REF!)</f>
        <v>#REF!</v>
      </c>
      <c r="F26" s="285">
        <v>0</v>
      </c>
      <c r="G26" s="281"/>
      <c r="H26" s="281"/>
      <c r="I26" s="281"/>
      <c r="J26" s="193" t="e">
        <f>+'Claase 6'!#REF!</f>
        <v>#REF!</v>
      </c>
      <c r="K26" s="288"/>
      <c r="L26" s="193">
        <f>+'Claase 6'!E99</f>
        <v>117733.44</v>
      </c>
      <c r="M26" s="281"/>
      <c r="N26" s="48"/>
      <c r="O26" s="282" t="s">
        <v>79</v>
      </c>
      <c r="P26" s="363"/>
      <c r="Q26" s="192">
        <f>+'Claase 7'!J98</f>
        <v>249482.54</v>
      </c>
      <c r="R26" s="363"/>
      <c r="S26" s="192">
        <f>+'Claase 7'!L98</f>
        <v>74000</v>
      </c>
      <c r="T26" s="363"/>
      <c r="U26" s="192">
        <v>26537.58</v>
      </c>
      <c r="V26" s="363"/>
    </row>
    <row r="27" spans="2:22" ht="8.1" customHeight="1" thickBot="1">
      <c r="B27" s="363"/>
      <c r="C27" s="363"/>
      <c r="D27" s="47"/>
      <c r="E27" s="85"/>
      <c r="F27" s="47"/>
      <c r="G27" s="47"/>
      <c r="H27" s="47"/>
      <c r="I27" s="47"/>
      <c r="J27" s="47"/>
      <c r="K27" s="47"/>
      <c r="L27" s="47"/>
      <c r="M27" s="47"/>
      <c r="N27" s="48"/>
      <c r="O27" s="363"/>
      <c r="P27" s="363"/>
      <c r="Q27" s="112"/>
      <c r="R27" s="363"/>
      <c r="S27" s="112"/>
      <c r="T27" s="363"/>
      <c r="U27" s="112"/>
      <c r="V27" s="363"/>
    </row>
    <row r="28" spans="2:22" ht="15.75" thickBot="1">
      <c r="B28" s="363"/>
      <c r="C28" s="282" t="s">
        <v>80</v>
      </c>
      <c r="D28" s="194" t="e">
        <f>+#REF!+#REF!+#REF!+#REF!+#REF!+#REF!</f>
        <v>#REF!</v>
      </c>
      <c r="E28" s="293" t="e">
        <f>+#REF!+#REF!+#REF!+#REF!+#REF!+#REF!+#REF!+#REF!</f>
        <v>#REF!</v>
      </c>
      <c r="F28" s="285" t="e">
        <f>+E28/D28</f>
        <v>#REF!</v>
      </c>
      <c r="G28" s="281"/>
      <c r="H28" s="281"/>
      <c r="I28" s="281"/>
      <c r="J28" s="193" t="e">
        <f>+'Claase 6'!#REF!</f>
        <v>#REF!</v>
      </c>
      <c r="K28" s="286"/>
      <c r="L28" s="193">
        <f>+'Claase 6'!E113</f>
        <v>123300</v>
      </c>
      <c r="M28" s="281"/>
      <c r="N28" s="48"/>
      <c r="O28" s="363"/>
      <c r="P28" s="363"/>
      <c r="Q28" s="112"/>
      <c r="R28" s="363"/>
      <c r="S28" s="112"/>
      <c r="T28" s="363"/>
      <c r="U28" s="112"/>
      <c r="V28" s="363"/>
    </row>
    <row r="29" spans="2:22" ht="8.1" customHeight="1">
      <c r="B29" s="363"/>
      <c r="C29" s="363"/>
      <c r="D29" s="47"/>
      <c r="E29" s="85"/>
      <c r="F29" s="47"/>
      <c r="G29" s="47"/>
      <c r="H29" s="47"/>
      <c r="I29" s="47"/>
      <c r="J29" s="47"/>
      <c r="K29" s="47"/>
      <c r="L29" s="47"/>
      <c r="M29" s="47"/>
      <c r="N29" s="48"/>
      <c r="O29" s="363"/>
      <c r="P29" s="363"/>
      <c r="Q29" s="112"/>
      <c r="R29" s="363"/>
      <c r="S29" s="363"/>
      <c r="T29" s="363"/>
      <c r="U29" s="363"/>
      <c r="V29" s="363"/>
    </row>
    <row r="30" spans="2:22" ht="21.75" thickBot="1">
      <c r="B30" s="218" t="s">
        <v>81</v>
      </c>
      <c r="C30" s="363"/>
      <c r="D30" s="47"/>
      <c r="E30" s="85"/>
      <c r="F30" s="47"/>
      <c r="G30" s="47"/>
      <c r="H30" s="47"/>
      <c r="I30" s="47"/>
      <c r="J30" s="47"/>
      <c r="K30" s="47"/>
      <c r="L30" s="47"/>
      <c r="M30" s="47"/>
      <c r="N30" s="48"/>
      <c r="O30" s="363"/>
      <c r="P30" s="363"/>
      <c r="Q30" s="112"/>
      <c r="R30" s="363"/>
      <c r="S30" s="363"/>
      <c r="T30" s="363"/>
      <c r="U30" s="363"/>
      <c r="V30" s="363"/>
    </row>
    <row r="31" spans="2:22" ht="15.75" thickBot="1">
      <c r="B31" s="363"/>
      <c r="C31" s="282" t="s">
        <v>82</v>
      </c>
      <c r="D31" s="192" t="e">
        <f>SUM(#REF!+#REF!+#REF!+#REF!+#REF!+#REF!)</f>
        <v>#REF!</v>
      </c>
      <c r="E31" s="287" t="e">
        <f>+#REF!+#REF!+#REF!+#REF!+#REF!+#REF!</f>
        <v>#REF!</v>
      </c>
      <c r="F31" s="285" t="e">
        <f>+E31/D31</f>
        <v>#REF!</v>
      </c>
      <c r="G31" s="281"/>
      <c r="H31" s="281"/>
      <c r="I31" s="281"/>
      <c r="J31" s="193" t="e">
        <f>+'Claase 6'!#REF!</f>
        <v>#REF!</v>
      </c>
      <c r="K31" s="288"/>
      <c r="L31" s="193">
        <f>+'Claase 6'!E125</f>
        <v>30000</v>
      </c>
      <c r="M31" s="281"/>
      <c r="N31" s="48"/>
      <c r="O31" s="363"/>
      <c r="P31" s="363"/>
      <c r="Q31" s="112"/>
      <c r="R31" s="363"/>
      <c r="S31" s="363"/>
      <c r="T31" s="363"/>
      <c r="U31" s="363"/>
      <c r="V31" s="363"/>
    </row>
    <row r="32" spans="2:22" ht="8.1" customHeight="1" thickBot="1">
      <c r="B32" s="363"/>
      <c r="C32" s="363"/>
      <c r="D32" s="47"/>
      <c r="E32" s="85"/>
      <c r="F32" s="47"/>
      <c r="G32" s="47"/>
      <c r="H32" s="47"/>
      <c r="I32" s="47"/>
      <c r="J32" s="47"/>
      <c r="K32" s="47"/>
      <c r="L32" s="47"/>
      <c r="M32" s="47"/>
      <c r="N32" s="48"/>
      <c r="O32" s="363"/>
      <c r="P32" s="363"/>
      <c r="Q32" s="112"/>
      <c r="R32" s="363"/>
      <c r="S32" s="363"/>
      <c r="T32" s="363"/>
      <c r="U32" s="363"/>
      <c r="V32" s="5"/>
    </row>
    <row r="33" spans="3:21" ht="15.75" thickBot="1">
      <c r="C33" s="282" t="s">
        <v>83</v>
      </c>
      <c r="D33" s="192" t="e">
        <f>+#REF!+#REF!</f>
        <v>#REF!</v>
      </c>
      <c r="E33" s="284" t="e">
        <f>+#REF!+#REF!</f>
        <v>#REF!</v>
      </c>
      <c r="F33" s="285">
        <v>0</v>
      </c>
      <c r="G33" s="281"/>
      <c r="H33" s="281"/>
      <c r="I33" s="281"/>
      <c r="J33" s="193" t="e">
        <f>+'Claase 6'!#REF!</f>
        <v>#REF!</v>
      </c>
      <c r="K33" s="288"/>
      <c r="L33" s="193">
        <f>+'Claase 6'!E136</f>
        <v>20000</v>
      </c>
      <c r="M33" s="281"/>
      <c r="N33" s="48"/>
      <c r="O33" s="363"/>
      <c r="P33" s="363"/>
      <c r="Q33" s="112"/>
      <c r="R33" s="363"/>
      <c r="S33" s="363"/>
      <c r="T33" s="363"/>
      <c r="U33" s="363"/>
    </row>
    <row r="34" spans="3:21" ht="8.1" customHeight="1" thickBot="1">
      <c r="C34" s="363"/>
      <c r="D34" s="47"/>
      <c r="E34" s="85"/>
      <c r="F34" s="47"/>
      <c r="G34" s="47"/>
      <c r="H34" s="47"/>
      <c r="I34" s="47"/>
      <c r="J34" s="47"/>
      <c r="K34" s="47"/>
      <c r="L34" s="47"/>
      <c r="M34" s="47"/>
      <c r="N34" s="48"/>
      <c r="O34" s="363"/>
      <c r="P34" s="363"/>
      <c r="Q34" s="112"/>
      <c r="R34" s="363"/>
      <c r="S34" s="363"/>
      <c r="T34" s="363"/>
      <c r="U34" s="363"/>
    </row>
    <row r="35" spans="3:21" ht="15.75" thickBot="1">
      <c r="C35" s="282" t="s">
        <v>84</v>
      </c>
      <c r="D35" s="192">
        <v>389882</v>
      </c>
      <c r="E35" s="287">
        <v>252272.31833333327</v>
      </c>
      <c r="F35" s="285">
        <v>0.64704787174922995</v>
      </c>
      <c r="G35" s="294"/>
      <c r="H35" s="281"/>
      <c r="I35" s="281"/>
      <c r="J35" s="192" t="e">
        <f>+'Claase 6'!#REF!</f>
        <v>#REF!</v>
      </c>
      <c r="K35" s="288"/>
      <c r="L35" s="192">
        <f>+'Claase 6'!E170</f>
        <v>2000</v>
      </c>
      <c r="M35" s="281"/>
      <c r="N35" s="48"/>
      <c r="O35" s="363"/>
      <c r="P35" s="363"/>
      <c r="Q35" s="112"/>
      <c r="R35" s="363"/>
      <c r="S35" s="363"/>
      <c r="T35" s="363"/>
      <c r="U35" s="363"/>
    </row>
    <row r="36" spans="3:21" ht="8.1" customHeight="1">
      <c r="C36" s="363"/>
      <c r="D36" s="363"/>
      <c r="E36" s="364"/>
      <c r="F36" s="365"/>
      <c r="G36" s="363"/>
      <c r="H36" s="363"/>
      <c r="I36" s="363"/>
      <c r="J36" s="363"/>
      <c r="K36" s="363"/>
      <c r="L36" s="363"/>
      <c r="M36" s="47"/>
      <c r="N36" s="363"/>
      <c r="O36" s="363"/>
      <c r="P36" s="363"/>
      <c r="Q36" s="112"/>
      <c r="R36" s="363"/>
      <c r="S36" s="363"/>
      <c r="T36" s="363"/>
      <c r="U36" s="363"/>
    </row>
    <row r="37" spans="3:21" s="314" customFormat="1" ht="18.75">
      <c r="C37" s="217" t="s">
        <v>85</v>
      </c>
      <c r="E37" s="315"/>
      <c r="F37" s="316"/>
      <c r="I37" s="318"/>
      <c r="J37" s="317" t="e">
        <f>SUM(J3:J36)</f>
        <v>#REF!</v>
      </c>
      <c r="K37" s="318"/>
      <c r="L37" s="317">
        <f>SUM(L3:L36)</f>
        <v>1430137.58</v>
      </c>
      <c r="M37" s="319"/>
      <c r="O37" s="217" t="s">
        <v>86</v>
      </c>
      <c r="Q37" s="320">
        <f>+Q24+Q26</f>
        <v>1420312.54</v>
      </c>
      <c r="S37" s="320">
        <f>SUM(S3:S36)</f>
        <v>862478.74</v>
      </c>
      <c r="U37" s="320">
        <f>+U24+U26</f>
        <v>1430337.58</v>
      </c>
    </row>
    <row r="38" spans="3:21" ht="15.95" customHeight="1">
      <c r="C38" s="363"/>
      <c r="D38" s="363"/>
      <c r="E38" s="364"/>
      <c r="F38" s="365"/>
      <c r="G38" s="363"/>
      <c r="H38" s="363"/>
      <c r="I38" s="363"/>
      <c r="J38" s="363"/>
      <c r="K38" s="363"/>
      <c r="L38" s="363"/>
      <c r="M38" s="363"/>
      <c r="N38" s="363"/>
      <c r="O38" s="363"/>
      <c r="P38" s="363"/>
      <c r="Q38" s="112"/>
      <c r="R38" s="363"/>
      <c r="S38" s="363"/>
      <c r="T38" s="363"/>
      <c r="U38" s="363"/>
    </row>
    <row r="39" spans="3:21" ht="15.95" customHeight="1">
      <c r="C39" s="363"/>
      <c r="D39" s="363"/>
      <c r="E39" s="364"/>
      <c r="F39" s="365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112"/>
      <c r="R39" s="363"/>
      <c r="S39" s="366" t="e">
        <f>+S37-J37</f>
        <v>#REF!</v>
      </c>
      <c r="T39" s="363"/>
      <c r="U39" s="363"/>
    </row>
    <row r="40" spans="3:21" ht="15.95" customHeight="1">
      <c r="C40" s="363"/>
      <c r="D40" s="363"/>
      <c r="E40" s="364"/>
      <c r="F40" s="365"/>
      <c r="G40" s="363"/>
      <c r="H40" s="363"/>
      <c r="I40" s="363"/>
      <c r="J40" s="363"/>
      <c r="K40" s="363"/>
      <c r="L40" s="363"/>
      <c r="M40" s="363"/>
      <c r="N40" s="363"/>
      <c r="O40" s="363"/>
      <c r="P40" s="363"/>
      <c r="Q40" s="112"/>
      <c r="R40" s="363"/>
      <c r="S40" s="363"/>
      <c r="T40" s="363"/>
      <c r="U40" s="363"/>
    </row>
    <row r="41" spans="3:21">
      <c r="C41" s="363"/>
      <c r="D41" s="363"/>
      <c r="E41" s="364"/>
      <c r="F41" s="365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112"/>
      <c r="R41" s="363"/>
      <c r="S41" s="363"/>
      <c r="T41" s="363"/>
      <c r="U41" s="363"/>
    </row>
    <row r="42" spans="3:21">
      <c r="C42" s="363"/>
      <c r="D42" s="363"/>
      <c r="E42" s="364"/>
      <c r="F42" s="365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112"/>
      <c r="R42" s="363"/>
      <c r="S42" s="363"/>
      <c r="T42" s="363"/>
      <c r="U42" s="363"/>
    </row>
    <row r="43" spans="3:21">
      <c r="C43" s="363"/>
      <c r="D43" s="363"/>
      <c r="E43" s="364"/>
      <c r="F43" s="365"/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112"/>
      <c r="R43" s="363"/>
      <c r="S43" s="363"/>
      <c r="T43" s="363"/>
      <c r="U43" s="363"/>
    </row>
    <row r="44" spans="3:21">
      <c r="C44" s="363"/>
      <c r="D44" s="363"/>
      <c r="E44" s="364"/>
      <c r="F44" s="365"/>
      <c r="G44" s="363"/>
      <c r="H44" s="363"/>
      <c r="I44" s="363"/>
      <c r="J44" s="363"/>
      <c r="K44" s="363"/>
      <c r="L44" s="363"/>
      <c r="M44" s="363"/>
      <c r="N44" s="363"/>
      <c r="O44" s="363"/>
      <c r="P44" s="363"/>
      <c r="Q44" s="112"/>
      <c r="R44" s="363"/>
      <c r="S44" s="363"/>
      <c r="T44" s="363"/>
      <c r="U44" s="363"/>
    </row>
    <row r="45" spans="3:21">
      <c r="C45" s="363"/>
      <c r="D45" s="363"/>
      <c r="E45" s="364"/>
      <c r="F45" s="365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112"/>
      <c r="R45" s="363"/>
      <c r="S45" s="363"/>
      <c r="T45" s="363"/>
      <c r="U45" s="363"/>
    </row>
    <row r="46" spans="3:21">
      <c r="C46" s="363"/>
      <c r="D46" s="363"/>
      <c r="E46" s="364"/>
      <c r="F46" s="365"/>
      <c r="G46" s="363"/>
      <c r="H46" s="363"/>
      <c r="I46" s="363"/>
      <c r="J46" s="363"/>
      <c r="K46" s="363"/>
      <c r="L46" s="363"/>
      <c r="M46" s="363"/>
      <c r="N46" s="363"/>
      <c r="O46" s="363"/>
      <c r="P46" s="363"/>
      <c r="Q46" s="112"/>
      <c r="R46" s="363"/>
      <c r="S46" s="363"/>
      <c r="T46" s="363"/>
      <c r="U46" s="363"/>
    </row>
    <row r="47" spans="3:21">
      <c r="C47" s="363"/>
      <c r="D47" s="363"/>
      <c r="E47" s="364"/>
      <c r="F47" s="365"/>
      <c r="G47" s="363"/>
      <c r="H47" s="363"/>
      <c r="I47" s="363"/>
      <c r="J47" s="363"/>
      <c r="K47" s="363"/>
      <c r="L47" s="363"/>
      <c r="M47" s="363"/>
      <c r="N47" s="363"/>
      <c r="O47" s="363"/>
      <c r="P47" s="363"/>
      <c r="Q47" s="112"/>
      <c r="R47" s="363"/>
      <c r="S47" s="363"/>
      <c r="T47" s="363"/>
      <c r="U47" s="363"/>
    </row>
    <row r="48" spans="3:21">
      <c r="C48" s="363"/>
      <c r="D48" s="363"/>
      <c r="E48" s="364"/>
      <c r="F48" s="365"/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112"/>
      <c r="R48" s="363"/>
      <c r="S48" s="363"/>
      <c r="T48" s="363"/>
      <c r="U48" s="363"/>
    </row>
    <row r="49" spans="17:17">
      <c r="Q49" s="112"/>
    </row>
    <row r="50" spans="17:17">
      <c r="Q50" s="112"/>
    </row>
    <row r="51" spans="17:17">
      <c r="Q51" s="112"/>
    </row>
    <row r="52" spans="17:17">
      <c r="Q52" s="112"/>
    </row>
    <row r="53" spans="17:17">
      <c r="Q53" s="112"/>
    </row>
    <row r="54" spans="17:17">
      <c r="Q54" s="112"/>
    </row>
    <row r="55" spans="17:17">
      <c r="Q55" s="112"/>
    </row>
    <row r="56" spans="17:17">
      <c r="Q56" s="112"/>
    </row>
    <row r="57" spans="17:17">
      <c r="Q57" s="112"/>
    </row>
    <row r="58" spans="17:17">
      <c r="Q58" s="112"/>
    </row>
    <row r="59" spans="17:17">
      <c r="Q59" s="112"/>
    </row>
    <row r="60" spans="17:17">
      <c r="Q60" s="112"/>
    </row>
    <row r="61" spans="17:17">
      <c r="Q61" s="112"/>
    </row>
    <row r="62" spans="17:17">
      <c r="Q62" s="112"/>
    </row>
    <row r="63" spans="17:17">
      <c r="Q63" s="112"/>
    </row>
    <row r="64" spans="17:17">
      <c r="Q64" s="112"/>
    </row>
    <row r="65" spans="17:17">
      <c r="Q65" s="112"/>
    </row>
    <row r="66" spans="17:17">
      <c r="Q66" s="112"/>
    </row>
    <row r="67" spans="17:17">
      <c r="Q67" s="112"/>
    </row>
    <row r="68" spans="17:17">
      <c r="Q68" s="112"/>
    </row>
    <row r="69" spans="17:17">
      <c r="Q69" s="112"/>
    </row>
    <row r="70" spans="17:17">
      <c r="Q70" s="112"/>
    </row>
    <row r="71" spans="17:17">
      <c r="Q71" s="112"/>
    </row>
    <row r="72" spans="17:17">
      <c r="Q72" s="112"/>
    </row>
    <row r="73" spans="17:17">
      <c r="Q73" s="112"/>
    </row>
    <row r="74" spans="17:17">
      <c r="Q74" s="112"/>
    </row>
    <row r="75" spans="17:17">
      <c r="Q75" s="112"/>
    </row>
    <row r="76" spans="17:17">
      <c r="Q76" s="112"/>
    </row>
    <row r="77" spans="17:17">
      <c r="Q77" s="112"/>
    </row>
    <row r="78" spans="17:17">
      <c r="Q78" s="112"/>
    </row>
    <row r="79" spans="17:17">
      <c r="Q79" s="112"/>
    </row>
    <row r="80" spans="17:17">
      <c r="Q80" s="112"/>
    </row>
    <row r="81" spans="17:17">
      <c r="Q81" s="112"/>
    </row>
    <row r="82" spans="17:17">
      <c r="Q82" s="112"/>
    </row>
    <row r="83" spans="17:17">
      <c r="Q83" s="112"/>
    </row>
    <row r="84" spans="17:17">
      <c r="Q84" s="112"/>
    </row>
    <row r="85" spans="17:17">
      <c r="Q85" s="112"/>
    </row>
    <row r="86" spans="17:17">
      <c r="Q86" s="112"/>
    </row>
    <row r="87" spans="17:17">
      <c r="Q87" s="112"/>
    </row>
    <row r="88" spans="17:17">
      <c r="Q88" s="112"/>
    </row>
    <row r="89" spans="17:17">
      <c r="Q89" s="112"/>
    </row>
    <row r="90" spans="17:17">
      <c r="Q90" s="112"/>
    </row>
    <row r="91" spans="17:17">
      <c r="Q91" s="112"/>
    </row>
    <row r="92" spans="17:17">
      <c r="Q92" s="112"/>
    </row>
    <row r="93" spans="17:17">
      <c r="Q93" s="112"/>
    </row>
    <row r="94" spans="17:17">
      <c r="Q94" s="112"/>
    </row>
    <row r="95" spans="17:17">
      <c r="Q95" s="112"/>
    </row>
    <row r="96" spans="17:17">
      <c r="Q96" s="112"/>
    </row>
    <row r="97" spans="17:17">
      <c r="Q97" s="112"/>
    </row>
    <row r="98" spans="17:17">
      <c r="Q98" s="112"/>
    </row>
    <row r="99" spans="17:17">
      <c r="Q99" s="112"/>
    </row>
    <row r="100" spans="17:17">
      <c r="Q100" s="112"/>
    </row>
    <row r="101" spans="17:17">
      <c r="Q101" s="112"/>
    </row>
    <row r="102" spans="17:17">
      <c r="Q102" s="112"/>
    </row>
    <row r="103" spans="17:17">
      <c r="Q103" s="112"/>
    </row>
    <row r="104" spans="17:17">
      <c r="Q104" s="112"/>
    </row>
    <row r="105" spans="17:17">
      <c r="Q105" s="112"/>
    </row>
    <row r="106" spans="17:17">
      <c r="Q106" s="112"/>
    </row>
    <row r="107" spans="17:17">
      <c r="Q107" s="112"/>
    </row>
    <row r="108" spans="17:17">
      <c r="Q108" s="112"/>
    </row>
    <row r="109" spans="17:17">
      <c r="Q109" s="112"/>
    </row>
    <row r="110" spans="17:17">
      <c r="Q110" s="112"/>
    </row>
    <row r="111" spans="17:17">
      <c r="Q111" s="112"/>
    </row>
    <row r="112" spans="17:17">
      <c r="Q112" s="112"/>
    </row>
    <row r="113" spans="17:17">
      <c r="Q113" s="112"/>
    </row>
    <row r="114" spans="17:17">
      <c r="Q114" s="112"/>
    </row>
    <row r="115" spans="17:17">
      <c r="Q115" s="112"/>
    </row>
    <row r="116" spans="17:17">
      <c r="Q116" s="112"/>
    </row>
    <row r="117" spans="17:17">
      <c r="Q117" s="112"/>
    </row>
  </sheetData>
  <pageMargins left="0.2" right="0.2" top="0.25" bottom="0.2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B32C-4CEF-174B-A616-43A6038D0450}">
  <dimension ref="A1:F211"/>
  <sheetViews>
    <sheetView zoomScale="113" zoomScaleNormal="113" workbookViewId="0">
      <selection activeCell="D1" sqref="D1"/>
    </sheetView>
  </sheetViews>
  <sheetFormatPr defaultColWidth="10.875" defaultRowHeight="21" outlineLevelRow="3"/>
  <cols>
    <col min="1" max="1" width="1.375" style="10" customWidth="1"/>
    <col min="2" max="2" width="1" style="10" customWidth="1"/>
    <col min="3" max="3" width="8.125" style="11" customWidth="1"/>
    <col min="4" max="4" width="61.125" style="10" bestFit="1" customWidth="1"/>
    <col min="5" max="5" width="16.125" style="10" bestFit="1" customWidth="1"/>
    <col min="6" max="8" width="10.875" style="10"/>
    <col min="9" max="9" width="3.375" style="10" customWidth="1"/>
    <col min="10" max="16384" width="10.875" style="10"/>
  </cols>
  <sheetData>
    <row r="1" spans="1:5" customFormat="1" ht="51.95" customHeight="1" thickBot="1">
      <c r="C1" s="23"/>
      <c r="D1" s="265" t="s">
        <v>87</v>
      </c>
      <c r="E1" s="321"/>
    </row>
    <row r="2" spans="1:5" customFormat="1" ht="20.100000000000001" customHeight="1" thickTop="1" thickBot="1">
      <c r="B2" s="335" t="s">
        <v>54</v>
      </c>
      <c r="C2" s="336"/>
      <c r="D2" s="337"/>
      <c r="E2" s="338"/>
    </row>
    <row r="3" spans="1:5" customFormat="1" ht="16.5" thickBot="1">
      <c r="B3" s="27" t="s">
        <v>88</v>
      </c>
      <c r="C3" s="28"/>
      <c r="D3" s="339"/>
      <c r="E3" s="340">
        <f>+E6</f>
        <v>3000</v>
      </c>
    </row>
    <row r="4" spans="1:5" s="44" customFormat="1" ht="15" outlineLevel="1">
      <c r="A4" s="363"/>
      <c r="B4" s="363"/>
      <c r="C4" s="367">
        <v>601000</v>
      </c>
      <c r="D4" s="368" t="s">
        <v>89</v>
      </c>
      <c r="E4" s="369">
        <v>1500</v>
      </c>
    </row>
    <row r="5" spans="1:5" s="44" customFormat="1" ht="15" outlineLevel="1">
      <c r="A5" s="363"/>
      <c r="B5" s="363"/>
      <c r="C5" s="370">
        <v>601000</v>
      </c>
      <c r="D5" s="371" t="s">
        <v>90</v>
      </c>
      <c r="E5" s="369">
        <v>1500</v>
      </c>
    </row>
    <row r="6" spans="1:5" s="44" customFormat="1" ht="15" outlineLevel="1">
      <c r="A6" s="363"/>
      <c r="B6" s="363"/>
      <c r="C6" s="45">
        <v>601000</v>
      </c>
      <c r="D6" s="46" t="s">
        <v>91</v>
      </c>
      <c r="E6" s="55">
        <f>SUM(E4:E5)</f>
        <v>3000</v>
      </c>
    </row>
    <row r="7" spans="1:5" s="44" customFormat="1" ht="15.75" thickBot="1">
      <c r="A7" s="363"/>
      <c r="B7" s="363"/>
      <c r="C7" s="49"/>
      <c r="D7" s="47"/>
      <c r="E7" s="47"/>
    </row>
    <row r="8" spans="1:5" customFormat="1" ht="16.5" hidden="1" thickBot="1">
      <c r="C8" s="23"/>
      <c r="D8" s="24"/>
      <c r="E8" s="323"/>
    </row>
    <row r="9" spans="1:5" customFormat="1" ht="16.5" thickBot="1">
      <c r="B9" s="27" t="s">
        <v>92</v>
      </c>
      <c r="C9" s="28"/>
      <c r="D9" s="339"/>
      <c r="E9" s="340">
        <f>SUM(E10:E13)</f>
        <v>37000</v>
      </c>
    </row>
    <row r="10" spans="1:5" s="44" customFormat="1" ht="15" outlineLevel="1">
      <c r="A10" s="363"/>
      <c r="B10" s="363"/>
      <c r="C10" s="45">
        <v>610200</v>
      </c>
      <c r="D10" s="46" t="s">
        <v>93</v>
      </c>
      <c r="E10" s="46">
        <v>4000</v>
      </c>
    </row>
    <row r="11" spans="1:5" s="44" customFormat="1" ht="15" outlineLevel="1">
      <c r="A11" s="363"/>
      <c r="B11" s="363"/>
      <c r="C11" s="45">
        <v>610410</v>
      </c>
      <c r="D11" s="46" t="s">
        <v>94</v>
      </c>
      <c r="E11" s="62">
        <v>12000</v>
      </c>
    </row>
    <row r="12" spans="1:5" s="44" customFormat="1" ht="15" outlineLevel="1">
      <c r="A12" s="363"/>
      <c r="B12" s="363"/>
      <c r="C12" s="50">
        <v>611000</v>
      </c>
      <c r="D12" s="55" t="s">
        <v>95</v>
      </c>
      <c r="E12" s="55">
        <v>20000</v>
      </c>
    </row>
    <row r="13" spans="1:5" s="44" customFormat="1" ht="18" customHeight="1" outlineLevel="1">
      <c r="A13" s="363"/>
      <c r="B13" s="363"/>
      <c r="C13" s="45">
        <v>611200</v>
      </c>
      <c r="D13" s="46" t="s">
        <v>96</v>
      </c>
      <c r="E13" s="46">
        <v>1000</v>
      </c>
    </row>
    <row r="14" spans="1:5" customFormat="1" ht="16.5" thickBot="1">
      <c r="C14" s="23"/>
      <c r="D14" s="24"/>
      <c r="E14" s="323"/>
    </row>
    <row r="15" spans="1:5" customFormat="1" ht="16.5" thickBot="1">
      <c r="A15" s="341"/>
      <c r="B15" s="342" t="s">
        <v>59</v>
      </c>
      <c r="C15" s="28"/>
      <c r="D15" s="339"/>
      <c r="E15" s="340">
        <v>46500</v>
      </c>
    </row>
    <row r="16" spans="1:5" s="44" customFormat="1" ht="15" outlineLevel="1">
      <c r="A16" s="363"/>
      <c r="B16" s="363"/>
      <c r="C16" s="45">
        <v>612300</v>
      </c>
      <c r="D16" s="46" t="s">
        <v>97</v>
      </c>
      <c r="E16" s="46">
        <v>10000</v>
      </c>
    </row>
    <row r="17" spans="1:5" s="44" customFormat="1" ht="15" outlineLevel="2">
      <c r="A17" s="363"/>
      <c r="B17" s="363"/>
      <c r="C17" s="372">
        <v>612530</v>
      </c>
      <c r="D17" s="373" t="s">
        <v>98</v>
      </c>
      <c r="E17" s="373">
        <v>5000</v>
      </c>
    </row>
    <row r="18" spans="1:5" s="44" customFormat="1" ht="15" outlineLevel="2">
      <c r="A18" s="363"/>
      <c r="B18" s="363"/>
      <c r="C18" s="374">
        <v>612530</v>
      </c>
      <c r="D18" s="369" t="s">
        <v>99</v>
      </c>
      <c r="E18" s="369">
        <v>1000</v>
      </c>
    </row>
    <row r="19" spans="1:5" s="44" customFormat="1" ht="15" outlineLevel="2">
      <c r="A19" s="363"/>
      <c r="B19" s="363"/>
      <c r="C19" s="374">
        <v>612530</v>
      </c>
      <c r="D19" s="369" t="s">
        <v>100</v>
      </c>
      <c r="E19" s="369">
        <v>2500</v>
      </c>
    </row>
    <row r="20" spans="1:5" s="44" customFormat="1" ht="15" outlineLevel="2">
      <c r="A20" s="363"/>
      <c r="B20" s="363"/>
      <c r="C20" s="374">
        <v>612530</v>
      </c>
      <c r="D20" s="369" t="s">
        <v>101</v>
      </c>
      <c r="E20" s="369">
        <v>2000</v>
      </c>
    </row>
    <row r="21" spans="1:5" s="44" customFormat="1" ht="15" outlineLevel="2">
      <c r="A21" s="363"/>
      <c r="B21" s="363"/>
      <c r="C21" s="374">
        <v>612530</v>
      </c>
      <c r="D21" s="369" t="s">
        <v>102</v>
      </c>
      <c r="E21" s="369">
        <v>2000</v>
      </c>
    </row>
    <row r="22" spans="1:5" s="44" customFormat="1" ht="15" outlineLevel="2">
      <c r="A22" s="363"/>
      <c r="B22" s="363"/>
      <c r="C22" s="374">
        <v>612530</v>
      </c>
      <c r="D22" s="369" t="s">
        <v>103</v>
      </c>
      <c r="E22" s="369">
        <v>20000</v>
      </c>
    </row>
    <row r="23" spans="1:5" s="44" customFormat="1" ht="15" outlineLevel="1">
      <c r="A23" s="363"/>
      <c r="B23" s="363"/>
      <c r="C23" s="50">
        <v>612530</v>
      </c>
      <c r="D23" s="55" t="s">
        <v>104</v>
      </c>
      <c r="E23" s="55">
        <f>SUM(E17:E22)</f>
        <v>32500</v>
      </c>
    </row>
    <row r="24" spans="1:5" s="44" customFormat="1" ht="15" outlineLevel="1">
      <c r="A24" s="363"/>
      <c r="B24" s="363"/>
      <c r="C24" s="45">
        <v>612600</v>
      </c>
      <c r="D24" s="46" t="s">
        <v>105</v>
      </c>
      <c r="E24" s="46">
        <v>1500</v>
      </c>
    </row>
    <row r="25" spans="1:5" s="44" customFormat="1" ht="15" outlineLevel="1">
      <c r="A25" s="363"/>
      <c r="B25" s="363"/>
      <c r="C25" s="45">
        <v>612700</v>
      </c>
      <c r="D25" s="46" t="s">
        <v>106</v>
      </c>
      <c r="E25" s="46">
        <v>2500</v>
      </c>
    </row>
    <row r="26" spans="1:5" s="44" customFormat="1" ht="15.75" thickBot="1">
      <c r="A26" s="363"/>
      <c r="B26" s="363"/>
      <c r="C26" s="49"/>
      <c r="D26" s="47"/>
      <c r="E26" s="47"/>
    </row>
    <row r="27" spans="1:5" customFormat="1" ht="16.5" thickBot="1">
      <c r="B27" s="27" t="s">
        <v>61</v>
      </c>
      <c r="C27" s="28"/>
      <c r="D27" s="339"/>
      <c r="E27" s="340">
        <f>SUM(E28:E29)</f>
        <v>7500</v>
      </c>
    </row>
    <row r="28" spans="1:5" s="44" customFormat="1" ht="15" outlineLevel="1">
      <c r="A28" s="363"/>
      <c r="B28" s="363"/>
      <c r="C28" s="50">
        <v>612800</v>
      </c>
      <c r="D28" s="55" t="s">
        <v>107</v>
      </c>
      <c r="E28" s="46">
        <v>2500</v>
      </c>
    </row>
    <row r="29" spans="1:5" s="44" customFormat="1" ht="15" outlineLevel="1">
      <c r="A29" s="363"/>
      <c r="B29" s="363"/>
      <c r="C29" s="45">
        <v>612900</v>
      </c>
      <c r="D29" s="46" t="s">
        <v>108</v>
      </c>
      <c r="E29" s="46">
        <v>5000</v>
      </c>
    </row>
    <row r="30" spans="1:5" s="44" customFormat="1" ht="15.75" thickBot="1">
      <c r="A30" s="363"/>
      <c r="B30" s="363"/>
      <c r="C30" s="49"/>
      <c r="D30" s="47"/>
      <c r="E30" s="47"/>
    </row>
    <row r="31" spans="1:5" customFormat="1" ht="16.5" hidden="1" thickBot="1">
      <c r="C31" s="23"/>
      <c r="D31" s="24"/>
      <c r="E31" s="323"/>
    </row>
    <row r="32" spans="1:5" customFormat="1" ht="16.5" thickBot="1">
      <c r="A32" s="343"/>
      <c r="B32" s="342" t="s">
        <v>63</v>
      </c>
      <c r="C32" s="28"/>
      <c r="D32" s="339"/>
      <c r="E32" s="340">
        <f>+E35+E36+E39</f>
        <v>30900</v>
      </c>
    </row>
    <row r="33" spans="2:5" ht="15" customHeight="1" outlineLevel="1">
      <c r="C33" s="374">
        <v>613100</v>
      </c>
      <c r="D33" s="369" t="s">
        <v>109</v>
      </c>
      <c r="E33" s="369">
        <v>12000</v>
      </c>
    </row>
    <row r="34" spans="2:5" ht="15" customHeight="1" outlineLevel="1">
      <c r="C34" s="374">
        <v>613100</v>
      </c>
      <c r="D34" s="369" t="s">
        <v>110</v>
      </c>
      <c r="E34" s="369">
        <v>7500</v>
      </c>
    </row>
    <row r="35" spans="2:5" s="44" customFormat="1" ht="15" outlineLevel="2" collapsed="1">
      <c r="B35" s="363"/>
      <c r="C35" s="50">
        <v>613100</v>
      </c>
      <c r="D35" s="55" t="s">
        <v>111</v>
      </c>
      <c r="E35" s="55">
        <f>SUM(E33:E34)</f>
        <v>19500</v>
      </c>
    </row>
    <row r="36" spans="2:5" s="44" customFormat="1" ht="15" outlineLevel="2">
      <c r="B36" s="363"/>
      <c r="C36" s="367">
        <v>613200</v>
      </c>
      <c r="D36" s="368" t="s">
        <v>112</v>
      </c>
      <c r="E36" s="368">
        <v>5000</v>
      </c>
    </row>
    <row r="37" spans="2:5" s="44" customFormat="1" ht="15" outlineLevel="3">
      <c r="B37" s="363"/>
      <c r="C37" s="372">
        <v>613400</v>
      </c>
      <c r="D37" s="373" t="s">
        <v>113</v>
      </c>
      <c r="E37" s="373">
        <v>400</v>
      </c>
    </row>
    <row r="38" spans="2:5" s="44" customFormat="1" ht="15" outlineLevel="3">
      <c r="B38" s="363"/>
      <c r="C38" s="374">
        <v>613400</v>
      </c>
      <c r="D38" s="369" t="s">
        <v>114</v>
      </c>
      <c r="E38" s="369">
        <v>6000</v>
      </c>
    </row>
    <row r="39" spans="2:5" s="44" customFormat="1" ht="15" outlineLevel="2">
      <c r="B39" s="363"/>
      <c r="C39" s="45">
        <v>613400</v>
      </c>
      <c r="D39" s="46" t="s">
        <v>115</v>
      </c>
      <c r="E39" s="46">
        <f>SUM(E37:E38)</f>
        <v>6400</v>
      </c>
    </row>
    <row r="40" spans="2:5" s="44" customFormat="1" ht="15.75" thickBot="1">
      <c r="B40" s="363"/>
      <c r="C40" s="49"/>
      <c r="D40" s="47"/>
      <c r="E40" s="47"/>
    </row>
    <row r="41" spans="2:5" customFormat="1" ht="16.5" hidden="1" thickBot="1">
      <c r="C41" s="23"/>
      <c r="D41" s="24"/>
      <c r="E41" s="323"/>
    </row>
    <row r="42" spans="2:5" customFormat="1" ht="16.5" thickBot="1">
      <c r="B42" s="27" t="s">
        <v>65</v>
      </c>
      <c r="C42" s="28"/>
      <c r="D42" s="40"/>
      <c r="E42" s="322">
        <f>+E43+E44+E45+E50+E51</f>
        <v>161500</v>
      </c>
    </row>
    <row r="43" spans="2:5" s="44" customFormat="1" ht="15" outlineLevel="1">
      <c r="B43" s="363"/>
      <c r="C43" s="45">
        <v>614000</v>
      </c>
      <c r="D43" s="46" t="s">
        <v>116</v>
      </c>
      <c r="E43" s="46"/>
    </row>
    <row r="44" spans="2:5" s="44" customFormat="1" ht="15" outlineLevel="1">
      <c r="B44" s="363"/>
      <c r="C44" s="63">
        <v>614200</v>
      </c>
      <c r="D44" s="55" t="s">
        <v>117</v>
      </c>
      <c r="E44" s="55">
        <v>1500</v>
      </c>
    </row>
    <row r="45" spans="2:5" s="44" customFormat="1" ht="15" outlineLevel="1">
      <c r="B45" s="363"/>
      <c r="C45" s="45">
        <v>614300</v>
      </c>
      <c r="D45" s="46" t="s">
        <v>118</v>
      </c>
      <c r="E45" s="46">
        <v>150000</v>
      </c>
    </row>
    <row r="46" spans="2:5" s="44" customFormat="1" ht="15" outlineLevel="2">
      <c r="B46" s="363"/>
      <c r="C46" s="372">
        <v>614500</v>
      </c>
      <c r="D46" s="373" t="s">
        <v>119</v>
      </c>
      <c r="E46" s="373">
        <v>900</v>
      </c>
    </row>
    <row r="47" spans="2:5" s="44" customFormat="1" ht="15" outlineLevel="2">
      <c r="B47" s="363"/>
      <c r="C47" s="374">
        <v>614500</v>
      </c>
      <c r="D47" s="369" t="s">
        <v>120</v>
      </c>
      <c r="E47" s="369">
        <v>5000</v>
      </c>
    </row>
    <row r="48" spans="2:5" s="44" customFormat="1" ht="15" outlineLevel="2">
      <c r="B48" s="363"/>
      <c r="C48" s="374">
        <v>614500</v>
      </c>
      <c r="D48" s="369" t="s">
        <v>121</v>
      </c>
      <c r="E48" s="369">
        <v>2800</v>
      </c>
    </row>
    <row r="49" spans="2:5" s="44" customFormat="1" ht="15" outlineLevel="2">
      <c r="B49" s="363"/>
      <c r="C49" s="374">
        <v>614500</v>
      </c>
      <c r="D49" s="369" t="s">
        <v>122</v>
      </c>
      <c r="E49" s="369">
        <v>400</v>
      </c>
    </row>
    <row r="50" spans="2:5" s="44" customFormat="1" ht="15" outlineLevel="1">
      <c r="B50" s="363"/>
      <c r="C50" s="50">
        <v>614500</v>
      </c>
      <c r="D50" s="55" t="s">
        <v>123</v>
      </c>
      <c r="E50" s="55">
        <f>SUM(E46:E49)</f>
        <v>9100</v>
      </c>
    </row>
    <row r="51" spans="2:5" s="44" customFormat="1" ht="15" outlineLevel="1">
      <c r="B51" s="363"/>
      <c r="C51" s="45">
        <v>614510</v>
      </c>
      <c r="D51" s="46" t="s">
        <v>124</v>
      </c>
      <c r="E51" s="46">
        <v>900</v>
      </c>
    </row>
    <row r="52" spans="2:5" s="44" customFormat="1" ht="15.75" thickBot="1">
      <c r="B52" s="363"/>
      <c r="C52" s="49"/>
      <c r="D52" s="47"/>
      <c r="E52" s="47"/>
    </row>
    <row r="53" spans="2:5" customFormat="1" ht="16.5" hidden="1" thickBot="1">
      <c r="C53" s="23"/>
      <c r="D53" s="24"/>
      <c r="E53" s="323"/>
    </row>
    <row r="54" spans="2:5" customFormat="1" ht="16.5" thickBot="1">
      <c r="B54" s="27" t="s">
        <v>67</v>
      </c>
      <c r="C54" s="28"/>
      <c r="D54" s="29"/>
      <c r="E54" s="322">
        <f>SUM(E55:E57)</f>
        <v>18000</v>
      </c>
    </row>
    <row r="55" spans="2:5" s="44" customFormat="1" ht="15" outlineLevel="1">
      <c r="B55" s="363"/>
      <c r="C55" s="45">
        <v>615200</v>
      </c>
      <c r="D55" s="46" t="s">
        <v>125</v>
      </c>
      <c r="E55" s="46">
        <v>10000</v>
      </c>
    </row>
    <row r="56" spans="2:5" s="44" customFormat="1" ht="15" outlineLevel="1">
      <c r="B56" s="363"/>
      <c r="C56" s="45">
        <v>615300</v>
      </c>
      <c r="D56" s="46" t="s">
        <v>126</v>
      </c>
      <c r="E56" s="46">
        <v>3000</v>
      </c>
    </row>
    <row r="57" spans="2:5" s="44" customFormat="1" ht="15" outlineLevel="1">
      <c r="B57" s="363"/>
      <c r="C57" s="45">
        <v>615400</v>
      </c>
      <c r="D57" s="46" t="s">
        <v>127</v>
      </c>
      <c r="E57" s="46">
        <v>5000</v>
      </c>
    </row>
    <row r="58" spans="2:5" s="44" customFormat="1" ht="15.75" outlineLevel="1" thickBot="1">
      <c r="B58" s="363"/>
      <c r="C58" s="49"/>
      <c r="D58" s="47"/>
      <c r="E58" s="47"/>
    </row>
    <row r="59" spans="2:5" customFormat="1" ht="16.5" thickBot="1">
      <c r="B59" s="27" t="s">
        <v>69</v>
      </c>
      <c r="C59" s="28"/>
      <c r="D59" s="29"/>
      <c r="E59" s="322">
        <f>SUM(E60:E62)</f>
        <v>15000</v>
      </c>
    </row>
    <row r="60" spans="2:5" s="44" customFormat="1" ht="15" outlineLevel="1">
      <c r="B60" s="363"/>
      <c r="C60" s="372">
        <v>616210</v>
      </c>
      <c r="D60" s="373" t="s">
        <v>128</v>
      </c>
      <c r="E60" s="373">
        <v>10000</v>
      </c>
    </row>
    <row r="61" spans="2:5" s="44" customFormat="1" ht="15" outlineLevel="1">
      <c r="B61" s="363"/>
      <c r="C61" s="374">
        <v>616210</v>
      </c>
      <c r="D61" s="369" t="s">
        <v>129</v>
      </c>
      <c r="E61" s="369">
        <v>2000</v>
      </c>
    </row>
    <row r="62" spans="2:5" s="44" customFormat="1" ht="15" outlineLevel="1">
      <c r="B62" s="363"/>
      <c r="C62" s="374">
        <v>616210</v>
      </c>
      <c r="D62" s="369" t="s">
        <v>130</v>
      </c>
      <c r="E62" s="369">
        <v>3000</v>
      </c>
    </row>
    <row r="63" spans="2:5" s="44" customFormat="1" ht="15" outlineLevel="1">
      <c r="B63" s="363"/>
      <c r="C63" s="50">
        <v>616210</v>
      </c>
      <c r="D63" s="55" t="s">
        <v>131</v>
      </c>
      <c r="E63" s="55">
        <f>SUM(E60:E62)</f>
        <v>15000</v>
      </c>
    </row>
    <row r="64" spans="2:5" s="44" customFormat="1" ht="15.75" outlineLevel="1" thickBot="1">
      <c r="B64" s="363"/>
      <c r="C64" s="49"/>
      <c r="D64" s="47"/>
      <c r="E64" s="47"/>
    </row>
    <row r="65" spans="2:5" s="44" customFormat="1" ht="15" customHeight="1" outlineLevel="1" thickBot="1">
      <c r="B65" s="27" t="s">
        <v>132</v>
      </c>
      <c r="C65" s="28"/>
      <c r="D65" s="29"/>
      <c r="E65" s="322">
        <f>+E72</f>
        <v>109739</v>
      </c>
    </row>
    <row r="66" spans="2:5" ht="15" customHeight="1">
      <c r="C66" s="374">
        <v>616220</v>
      </c>
      <c r="D66" s="369" t="s">
        <v>133</v>
      </c>
      <c r="E66" s="369">
        <v>1500</v>
      </c>
    </row>
    <row r="67" spans="2:5" ht="15" customHeight="1">
      <c r="C67" s="324">
        <v>616220</v>
      </c>
      <c r="D67" s="66" t="s">
        <v>134</v>
      </c>
      <c r="E67" s="66">
        <v>5000</v>
      </c>
    </row>
    <row r="68" spans="2:5" ht="15" customHeight="1">
      <c r="C68" s="324">
        <v>616220</v>
      </c>
      <c r="D68" s="66" t="s">
        <v>135</v>
      </c>
      <c r="E68" s="66">
        <v>7500</v>
      </c>
    </row>
    <row r="69" spans="2:5" ht="15" customHeight="1">
      <c r="C69" s="324">
        <v>616224</v>
      </c>
      <c r="D69" s="66" t="s">
        <v>136</v>
      </c>
      <c r="E69" s="66">
        <v>48000</v>
      </c>
    </row>
    <row r="70" spans="2:5" ht="15" customHeight="1">
      <c r="C70" s="324">
        <v>616227</v>
      </c>
      <c r="D70" s="66" t="s">
        <v>137</v>
      </c>
      <c r="E70" s="66">
        <v>5000</v>
      </c>
    </row>
    <row r="71" spans="2:5" ht="15" customHeight="1">
      <c r="C71" s="327">
        <v>617000</v>
      </c>
      <c r="D71" s="326" t="s">
        <v>138</v>
      </c>
      <c r="E71" s="326">
        <v>42739</v>
      </c>
    </row>
    <row r="72" spans="2:5" s="44" customFormat="1" ht="15" customHeight="1" outlineLevel="1">
      <c r="B72" s="159"/>
      <c r="C72" s="50" t="s">
        <v>139</v>
      </c>
      <c r="D72" s="55" t="s">
        <v>140</v>
      </c>
      <c r="E72" s="55">
        <f>SUM(E66:E71)</f>
        <v>109739</v>
      </c>
    </row>
    <row r="73" spans="2:5" s="44" customFormat="1" ht="15" customHeight="1" outlineLevel="1" thickBot="1">
      <c r="B73" s="159"/>
      <c r="C73" s="49"/>
      <c r="D73" s="47"/>
      <c r="E73" s="47"/>
    </row>
    <row r="74" spans="2:5" s="44" customFormat="1" ht="15" customHeight="1" outlineLevel="1" thickBot="1">
      <c r="B74" s="27" t="s">
        <v>73</v>
      </c>
      <c r="C74" s="28"/>
      <c r="D74" s="29"/>
      <c r="E74" s="322">
        <f>SUM(E75:E76)</f>
        <v>215298.78</v>
      </c>
    </row>
    <row r="75" spans="2:5" s="44" customFormat="1" ht="15" customHeight="1" outlineLevel="1">
      <c r="B75" s="10"/>
      <c r="C75" s="50">
        <v>620000</v>
      </c>
      <c r="D75" s="55" t="s">
        <v>141</v>
      </c>
      <c r="E75" s="47">
        <v>211298.78</v>
      </c>
    </row>
    <row r="76" spans="2:5" s="44" customFormat="1" ht="15" customHeight="1" outlineLevel="1">
      <c r="B76" s="10"/>
      <c r="C76" s="50">
        <v>622000</v>
      </c>
      <c r="D76" s="55" t="s">
        <v>142</v>
      </c>
      <c r="E76" s="47">
        <v>4000</v>
      </c>
    </row>
    <row r="77" spans="2:5" s="44" customFormat="1" ht="15" customHeight="1" outlineLevel="1" thickBot="1">
      <c r="B77" s="159"/>
      <c r="C77" s="49"/>
      <c r="D77" s="47"/>
      <c r="E77" s="47"/>
    </row>
    <row r="78" spans="2:5" customFormat="1" ht="16.5" thickBot="1">
      <c r="B78" s="27" t="s">
        <v>76</v>
      </c>
      <c r="C78" s="28"/>
      <c r="D78" s="339"/>
      <c r="E78" s="340">
        <f>+E80+E84+E87+E90+E91+E92+E93+E94+E95+E96+E97</f>
        <v>492666.36</v>
      </c>
    </row>
    <row r="79" spans="2:5" customFormat="1" ht="15.75">
      <c r="B79" s="159"/>
      <c r="C79" s="375">
        <v>601000</v>
      </c>
      <c r="D79" s="376" t="s">
        <v>143</v>
      </c>
      <c r="E79" s="369">
        <v>15000</v>
      </c>
    </row>
    <row r="80" spans="2:5" customFormat="1" ht="15.75">
      <c r="B80" s="159"/>
      <c r="C80" s="50">
        <v>601000</v>
      </c>
      <c r="D80" s="55" t="s">
        <v>91</v>
      </c>
      <c r="E80" s="55">
        <f>SUM(E79:E79)</f>
        <v>15000</v>
      </c>
    </row>
    <row r="81" spans="1:5" s="199" customFormat="1" ht="15" customHeight="1" outlineLevel="1">
      <c r="A81" s="195"/>
      <c r="B81" s="195"/>
      <c r="C81" s="377">
        <v>615600</v>
      </c>
      <c r="D81" s="378" t="s">
        <v>144</v>
      </c>
      <c r="E81" s="379">
        <v>15000</v>
      </c>
    </row>
    <row r="82" spans="1:5" s="199" customFormat="1" ht="15" customHeight="1" outlineLevel="1">
      <c r="A82" s="195"/>
      <c r="B82" s="195"/>
      <c r="C82" s="380">
        <v>615600</v>
      </c>
      <c r="D82" s="381" t="s">
        <v>145</v>
      </c>
      <c r="E82" s="382">
        <v>30000</v>
      </c>
    </row>
    <row r="83" spans="1:5" s="199" customFormat="1" ht="15" customHeight="1" outlineLevel="1">
      <c r="A83" s="195"/>
      <c r="B83" s="195"/>
      <c r="C83" s="380">
        <v>615600</v>
      </c>
      <c r="D83" s="381" t="s">
        <v>146</v>
      </c>
      <c r="E83" s="382">
        <v>4000</v>
      </c>
    </row>
    <row r="84" spans="1:5" s="199" customFormat="1" ht="15" customHeight="1">
      <c r="A84" s="195"/>
      <c r="B84" s="195"/>
      <c r="C84" s="200">
        <v>615600</v>
      </c>
      <c r="D84" s="255" t="s">
        <v>147</v>
      </c>
      <c r="E84" s="255">
        <f>SUM(E81:E83)</f>
        <v>49000</v>
      </c>
    </row>
    <row r="85" spans="1:5" s="44" customFormat="1" ht="15" outlineLevel="2">
      <c r="A85" s="363"/>
      <c r="B85" s="363"/>
      <c r="C85" s="380">
        <v>615600</v>
      </c>
      <c r="D85" s="381" t="s">
        <v>148</v>
      </c>
      <c r="E85" s="383">
        <v>5000</v>
      </c>
    </row>
    <row r="86" spans="1:5" s="44" customFormat="1" ht="15" outlineLevel="2">
      <c r="A86" s="363"/>
      <c r="B86" s="363"/>
      <c r="C86" s="324">
        <v>616226</v>
      </c>
      <c r="D86" s="66" t="s">
        <v>149</v>
      </c>
      <c r="E86" s="325">
        <v>40000</v>
      </c>
    </row>
    <row r="87" spans="1:5" s="44" customFormat="1" ht="15">
      <c r="A87" s="363"/>
      <c r="B87" s="363"/>
      <c r="C87" s="50">
        <v>615611</v>
      </c>
      <c r="D87" s="55" t="s">
        <v>150</v>
      </c>
      <c r="E87" s="55">
        <f>SUM(E85:E86)</f>
        <v>45000</v>
      </c>
    </row>
    <row r="88" spans="1:5" s="44" customFormat="1" ht="15" outlineLevel="1">
      <c r="A88" s="363"/>
      <c r="B88" s="363"/>
      <c r="C88" s="384">
        <v>615620</v>
      </c>
      <c r="D88" s="385" t="s">
        <v>151</v>
      </c>
      <c r="E88" s="373">
        <v>20000</v>
      </c>
    </row>
    <row r="89" spans="1:5" s="44" customFormat="1" ht="15" outlineLevel="1">
      <c r="A89" s="363"/>
      <c r="B89" s="363"/>
      <c r="C89" s="384">
        <v>615620</v>
      </c>
      <c r="D89" s="369" t="s">
        <v>152</v>
      </c>
      <c r="E89" s="369">
        <v>5000</v>
      </c>
    </row>
    <row r="90" spans="1:5" s="44" customFormat="1" ht="15">
      <c r="A90" s="363"/>
      <c r="B90" s="363"/>
      <c r="C90" s="50">
        <v>615620</v>
      </c>
      <c r="D90" s="55" t="s">
        <v>153</v>
      </c>
      <c r="E90" s="55">
        <f>SUM(E88:E89)</f>
        <v>25000</v>
      </c>
    </row>
    <row r="91" spans="1:5" s="44" customFormat="1" ht="15">
      <c r="A91" s="363"/>
      <c r="B91" s="363"/>
      <c r="C91" s="188">
        <v>615640</v>
      </c>
      <c r="D91" s="77" t="s">
        <v>154</v>
      </c>
      <c r="E91" s="77">
        <v>4000</v>
      </c>
    </row>
    <row r="92" spans="1:5" s="44" customFormat="1" ht="15">
      <c r="A92" s="363"/>
      <c r="B92" s="363"/>
      <c r="C92" s="45">
        <v>615647</v>
      </c>
      <c r="D92" s="46" t="s">
        <v>155</v>
      </c>
      <c r="E92" s="46">
        <v>30000</v>
      </c>
    </row>
    <row r="93" spans="1:5" s="44" customFormat="1" ht="15">
      <c r="A93" s="363"/>
      <c r="B93" s="363"/>
      <c r="C93" s="45">
        <v>615630</v>
      </c>
      <c r="D93" s="46" t="s">
        <v>156</v>
      </c>
      <c r="E93" s="46">
        <v>6000</v>
      </c>
    </row>
    <row r="94" spans="1:5" s="44" customFormat="1" ht="15">
      <c r="A94" s="363"/>
      <c r="B94" s="363"/>
      <c r="C94" s="50">
        <v>620108</v>
      </c>
      <c r="D94" s="55" t="s">
        <v>157</v>
      </c>
      <c r="E94" s="3">
        <v>41600</v>
      </c>
    </row>
    <row r="95" spans="1:5" s="44" customFormat="1" ht="15" outlineLevel="1">
      <c r="A95" s="363"/>
      <c r="B95" s="363"/>
      <c r="C95" s="45">
        <v>617000</v>
      </c>
      <c r="D95" s="46" t="s">
        <v>158</v>
      </c>
      <c r="E95" s="4">
        <v>96558</v>
      </c>
    </row>
    <row r="96" spans="1:5" s="44" customFormat="1" ht="15" outlineLevel="1">
      <c r="A96" s="363"/>
      <c r="B96" s="363"/>
      <c r="C96" s="45">
        <v>615641</v>
      </c>
      <c r="D96" s="46" t="s">
        <v>159</v>
      </c>
      <c r="E96" s="4">
        <v>82900</v>
      </c>
    </row>
    <row r="97" spans="2:6" s="44" customFormat="1" ht="15" outlineLevel="1">
      <c r="B97" s="363"/>
      <c r="C97" s="50">
        <v>620100</v>
      </c>
      <c r="D97" s="55" t="s">
        <v>160</v>
      </c>
      <c r="E97" s="5">
        <v>97608.36</v>
      </c>
      <c r="F97" s="363"/>
    </row>
    <row r="98" spans="2:6" customFormat="1" ht="16.5" thickBot="1">
      <c r="C98" s="23"/>
      <c r="D98" s="24"/>
      <c r="E98" s="24"/>
    </row>
    <row r="99" spans="2:6" customFormat="1" ht="16.5" thickBot="1">
      <c r="B99" s="27" t="s">
        <v>78</v>
      </c>
      <c r="C99" s="28"/>
      <c r="D99" s="339"/>
      <c r="E99" s="340">
        <f>+E102+E104+E105+E108+E109+E110+E111</f>
        <v>117733.44</v>
      </c>
    </row>
    <row r="100" spans="2:6" s="44" customFormat="1" ht="15" outlineLevel="1">
      <c r="B100" s="363"/>
      <c r="C100" s="374">
        <v>615710</v>
      </c>
      <c r="D100" s="369" t="s">
        <v>161</v>
      </c>
      <c r="E100" s="369">
        <v>3000</v>
      </c>
      <c r="F100" s="363"/>
    </row>
    <row r="101" spans="2:6" s="44" customFormat="1" ht="15" outlineLevel="1">
      <c r="B101" s="363"/>
      <c r="C101" s="374">
        <v>615710</v>
      </c>
      <c r="D101" s="369" t="s">
        <v>162</v>
      </c>
      <c r="E101" s="369">
        <v>1000</v>
      </c>
      <c r="F101" s="363"/>
    </row>
    <row r="102" spans="2:6" s="44" customFormat="1" ht="15">
      <c r="B102" s="363"/>
      <c r="C102" s="50">
        <v>615710</v>
      </c>
      <c r="D102" s="55" t="s">
        <v>163</v>
      </c>
      <c r="E102" s="55">
        <v>4000</v>
      </c>
      <c r="F102" s="363"/>
    </row>
    <row r="103" spans="2:6" s="44" customFormat="1" ht="15" outlineLevel="1">
      <c r="B103" s="363"/>
      <c r="C103" s="374">
        <v>615720</v>
      </c>
      <c r="D103" s="369" t="s">
        <v>164</v>
      </c>
      <c r="E103" s="369">
        <v>1000</v>
      </c>
      <c r="F103" s="363"/>
    </row>
    <row r="104" spans="2:6" s="44" customFormat="1" ht="15">
      <c r="B104" s="363"/>
      <c r="C104" s="50">
        <v>615720</v>
      </c>
      <c r="D104" s="55" t="s">
        <v>164</v>
      </c>
      <c r="E104" s="55">
        <v>1000</v>
      </c>
      <c r="F104" s="363"/>
    </row>
    <row r="105" spans="2:6" s="44" customFormat="1" ht="15">
      <c r="B105" s="363"/>
      <c r="C105" s="45">
        <v>615730</v>
      </c>
      <c r="D105" s="46" t="s">
        <v>165</v>
      </c>
      <c r="E105" s="46">
        <v>1500</v>
      </c>
      <c r="F105" s="363"/>
    </row>
    <row r="106" spans="2:6" s="44" customFormat="1" ht="15">
      <c r="B106" s="363"/>
      <c r="C106" s="45">
        <v>615800</v>
      </c>
      <c r="D106" s="46" t="s">
        <v>166</v>
      </c>
      <c r="E106" s="46"/>
      <c r="F106" s="363"/>
    </row>
    <row r="107" spans="2:6" s="44" customFormat="1" ht="15">
      <c r="B107" s="363"/>
      <c r="C107" s="45">
        <v>615900</v>
      </c>
      <c r="D107" s="46" t="s">
        <v>167</v>
      </c>
      <c r="E107" s="46"/>
      <c r="F107" s="363"/>
    </row>
    <row r="108" spans="2:6" s="44" customFormat="1" ht="15">
      <c r="B108" s="363"/>
      <c r="C108" s="45">
        <v>617000</v>
      </c>
      <c r="D108" s="46" t="s">
        <v>158</v>
      </c>
      <c r="E108" s="46">
        <v>51382</v>
      </c>
      <c r="F108" s="363"/>
    </row>
    <row r="109" spans="2:6" s="44" customFormat="1" ht="15">
      <c r="B109" s="363"/>
      <c r="C109" s="45">
        <v>615641</v>
      </c>
      <c r="D109" s="46" t="s">
        <v>168</v>
      </c>
      <c r="E109" s="46">
        <v>5000</v>
      </c>
      <c r="F109" s="363"/>
    </row>
    <row r="110" spans="2:6" s="44" customFormat="1" ht="15">
      <c r="B110" s="363"/>
      <c r="C110" s="50">
        <v>620102</v>
      </c>
      <c r="D110" s="55" t="s">
        <v>169</v>
      </c>
      <c r="E110" s="4">
        <f>33182.64+5068.8</f>
        <v>38251.440000000002</v>
      </c>
      <c r="F110" s="363"/>
    </row>
    <row r="111" spans="2:6" s="44" customFormat="1" ht="15">
      <c r="B111" s="363"/>
      <c r="C111" s="50">
        <v>620108</v>
      </c>
      <c r="D111" s="55" t="s">
        <v>170</v>
      </c>
      <c r="E111" s="46">
        <v>16600</v>
      </c>
      <c r="F111" s="366">
        <f>SUM(E108:E111)</f>
        <v>111233.44</v>
      </c>
    </row>
    <row r="112" spans="2:6" customFormat="1" ht="16.5" thickBot="1">
      <c r="C112" s="23"/>
      <c r="D112" s="24"/>
      <c r="E112" s="24"/>
    </row>
    <row r="113" spans="2:5" customFormat="1" ht="16.5" thickBot="1">
      <c r="B113" s="27" t="s">
        <v>171</v>
      </c>
      <c r="C113" s="28"/>
      <c r="D113" s="339"/>
      <c r="E113" s="340">
        <f>+E114+E119+E120+E123</f>
        <v>123300</v>
      </c>
    </row>
    <row r="114" spans="2:5" s="44" customFormat="1" ht="15">
      <c r="B114" s="363"/>
      <c r="C114" s="45">
        <v>615648</v>
      </c>
      <c r="D114" s="46" t="s">
        <v>172</v>
      </c>
      <c r="E114" s="46">
        <v>50000</v>
      </c>
    </row>
    <row r="115" spans="2:5" s="44" customFormat="1" ht="15" outlineLevel="1">
      <c r="B115" s="363"/>
      <c r="C115" s="374">
        <v>616220</v>
      </c>
      <c r="D115" s="56" t="s">
        <v>173</v>
      </c>
      <c r="E115" s="56">
        <v>2500</v>
      </c>
    </row>
    <row r="116" spans="2:5" s="44" customFormat="1" ht="15" outlineLevel="1">
      <c r="B116" s="363"/>
      <c r="C116" s="374">
        <v>616220</v>
      </c>
      <c r="D116" s="369" t="s">
        <v>174</v>
      </c>
      <c r="E116" s="369">
        <v>12000</v>
      </c>
    </row>
    <row r="117" spans="2:5" s="44" customFormat="1" ht="15" outlineLevel="1">
      <c r="B117" s="363"/>
      <c r="C117" s="374">
        <v>616220</v>
      </c>
      <c r="D117" s="66" t="s">
        <v>175</v>
      </c>
      <c r="E117" s="66">
        <v>10000</v>
      </c>
    </row>
    <row r="118" spans="2:5" s="44" customFormat="1" ht="15" outlineLevel="1">
      <c r="B118" s="363"/>
      <c r="C118" s="374">
        <v>616220</v>
      </c>
      <c r="D118" s="369" t="s">
        <v>176</v>
      </c>
      <c r="E118" s="369">
        <v>10000</v>
      </c>
    </row>
    <row r="119" spans="2:5" s="44" customFormat="1" ht="15">
      <c r="B119" s="363"/>
      <c r="C119" s="50">
        <v>616220</v>
      </c>
      <c r="D119" s="55" t="s">
        <v>177</v>
      </c>
      <c r="E119" s="55">
        <f>SUM(E115:E118)</f>
        <v>34500</v>
      </c>
    </row>
    <row r="120" spans="2:5" s="44" customFormat="1" ht="15">
      <c r="B120" s="363"/>
      <c r="C120" s="50">
        <v>616220</v>
      </c>
      <c r="D120" s="55" t="s">
        <v>178</v>
      </c>
      <c r="E120" s="55">
        <v>30000</v>
      </c>
    </row>
    <row r="121" spans="2:5" s="44" customFormat="1" ht="15">
      <c r="B121" s="363"/>
      <c r="C121" s="372">
        <v>616220</v>
      </c>
      <c r="D121" s="373" t="s">
        <v>179</v>
      </c>
      <c r="E121" s="369">
        <v>6000</v>
      </c>
    </row>
    <row r="122" spans="2:5" s="44" customFormat="1" ht="15">
      <c r="B122" s="363"/>
      <c r="C122" s="374">
        <v>616220</v>
      </c>
      <c r="D122" s="369" t="s">
        <v>180</v>
      </c>
      <c r="E122" s="369">
        <v>2800</v>
      </c>
    </row>
    <row r="123" spans="2:5" s="44" customFormat="1" ht="15">
      <c r="B123" s="363"/>
      <c r="C123" s="45">
        <v>616225</v>
      </c>
      <c r="D123" s="46" t="s">
        <v>181</v>
      </c>
      <c r="E123" s="46">
        <f>SUM(E121:E122)</f>
        <v>8800</v>
      </c>
    </row>
    <row r="124" spans="2:5" s="44" customFormat="1" ht="15.75" thickBot="1">
      <c r="B124" s="363"/>
      <c r="C124" s="49"/>
      <c r="D124" s="47"/>
      <c r="E124" s="47"/>
    </row>
    <row r="125" spans="2:5" customFormat="1" ht="18.95" customHeight="1" thickBot="1">
      <c r="B125" s="27" t="s">
        <v>182</v>
      </c>
      <c r="C125" s="28"/>
      <c r="D125" s="339"/>
      <c r="E125" s="340">
        <v>30000</v>
      </c>
    </row>
    <row r="126" spans="2:5" s="44" customFormat="1" ht="15" customHeight="1" outlineLevel="1">
      <c r="B126" s="363"/>
      <c r="C126" s="374">
        <v>630100</v>
      </c>
      <c r="D126" s="369" t="s">
        <v>183</v>
      </c>
      <c r="E126" s="369"/>
    </row>
    <row r="127" spans="2:5" s="44" customFormat="1" ht="15" customHeight="1" outlineLevel="1">
      <c r="B127" s="363"/>
      <c r="C127" s="374">
        <v>630200</v>
      </c>
      <c r="D127" s="369" t="s">
        <v>184</v>
      </c>
      <c r="E127" s="369"/>
    </row>
    <row r="128" spans="2:5" s="44" customFormat="1" ht="15" customHeight="1" outlineLevel="1">
      <c r="B128" s="363"/>
      <c r="C128" s="374">
        <v>630200</v>
      </c>
      <c r="D128" s="369" t="s">
        <v>185</v>
      </c>
      <c r="E128" s="369"/>
    </row>
    <row r="129" spans="2:5" s="44" customFormat="1" ht="15" customHeight="1" outlineLevel="1">
      <c r="B129" s="363"/>
      <c r="C129" s="374">
        <v>630200</v>
      </c>
      <c r="D129" s="369" t="s">
        <v>186</v>
      </c>
      <c r="E129" s="369"/>
    </row>
    <row r="130" spans="2:5" s="44" customFormat="1" ht="15" customHeight="1" outlineLevel="1">
      <c r="B130" s="363"/>
      <c r="C130" s="374">
        <v>630200</v>
      </c>
      <c r="D130" s="369" t="s">
        <v>187</v>
      </c>
      <c r="E130" s="369"/>
    </row>
    <row r="131" spans="2:5" s="44" customFormat="1" ht="15" customHeight="1" outlineLevel="1">
      <c r="B131" s="363"/>
      <c r="C131" s="374">
        <v>630200</v>
      </c>
      <c r="D131" s="369" t="s">
        <v>188</v>
      </c>
      <c r="E131" s="369"/>
    </row>
    <row r="132" spans="2:5" s="44" customFormat="1" ht="15" customHeight="1" outlineLevel="1">
      <c r="B132" s="363"/>
      <c r="C132" s="374">
        <v>630200</v>
      </c>
      <c r="D132" s="369" t="s">
        <v>189</v>
      </c>
      <c r="E132" s="369"/>
    </row>
    <row r="133" spans="2:5" s="44" customFormat="1" ht="15" customHeight="1" outlineLevel="1">
      <c r="B133" s="363"/>
      <c r="C133" s="50" t="s">
        <v>190</v>
      </c>
      <c r="D133" s="55" t="s">
        <v>191</v>
      </c>
      <c r="E133" s="55">
        <v>30000</v>
      </c>
    </row>
    <row r="134" spans="2:5" s="44" customFormat="1" ht="18.95" customHeight="1" thickBot="1">
      <c r="B134" s="363"/>
      <c r="C134" s="49"/>
      <c r="D134" s="47"/>
      <c r="E134" s="47"/>
    </row>
    <row r="135" spans="2:5" customFormat="1" ht="18.95" hidden="1" customHeight="1" thickBot="1">
      <c r="C135" s="23"/>
      <c r="D135" s="24"/>
      <c r="E135" s="323"/>
    </row>
    <row r="136" spans="2:5" customFormat="1" ht="18.95" customHeight="1" thickBot="1">
      <c r="B136" s="27" t="s">
        <v>192</v>
      </c>
      <c r="C136" s="28"/>
      <c r="D136" s="339"/>
      <c r="E136" s="340">
        <v>20000</v>
      </c>
    </row>
    <row r="137" spans="2:5" s="44" customFormat="1" ht="15" outlineLevel="1">
      <c r="B137" s="363"/>
      <c r="C137" s="374">
        <v>637000</v>
      </c>
      <c r="D137" s="369" t="s">
        <v>193</v>
      </c>
      <c r="E137" s="369"/>
    </row>
    <row r="138" spans="2:5" s="44" customFormat="1" ht="15" outlineLevel="1">
      <c r="B138" s="363"/>
      <c r="C138" s="374">
        <v>637000</v>
      </c>
      <c r="D138" s="369" t="s">
        <v>194</v>
      </c>
      <c r="E138" s="369"/>
    </row>
    <row r="139" spans="2:5" s="44" customFormat="1" ht="15" outlineLevel="1">
      <c r="B139" s="363"/>
      <c r="C139" s="50">
        <v>637000</v>
      </c>
      <c r="D139" s="55" t="s">
        <v>195</v>
      </c>
      <c r="E139" s="55"/>
    </row>
    <row r="140" spans="2:5" s="44" customFormat="1" ht="15" outlineLevel="1">
      <c r="B140" s="363"/>
      <c r="C140" s="50">
        <v>637010</v>
      </c>
      <c r="D140" s="55" t="s">
        <v>196</v>
      </c>
      <c r="E140" s="55"/>
    </row>
    <row r="141" spans="2:5" s="44" customFormat="1" ht="15" outlineLevel="1">
      <c r="B141" s="363"/>
      <c r="C141" s="50">
        <v>637020</v>
      </c>
      <c r="D141" s="55" t="s">
        <v>197</v>
      </c>
      <c r="E141" s="55"/>
    </row>
    <row r="142" spans="2:5" s="44" customFormat="1" ht="15" outlineLevel="1">
      <c r="B142" s="363"/>
      <c r="C142" s="50">
        <v>637030</v>
      </c>
      <c r="D142" s="55" t="s">
        <v>198</v>
      </c>
      <c r="E142" s="55"/>
    </row>
    <row r="143" spans="2:5" s="44" customFormat="1" ht="15" outlineLevel="1">
      <c r="B143" s="363"/>
      <c r="C143" s="50">
        <v>637040</v>
      </c>
      <c r="D143" s="55" t="s">
        <v>199</v>
      </c>
      <c r="E143" s="55">
        <v>20000</v>
      </c>
    </row>
    <row r="144" spans="2:5" s="44" customFormat="1" ht="15" outlineLevel="1">
      <c r="B144" s="363"/>
      <c r="C144" s="50">
        <v>637050</v>
      </c>
      <c r="D144" s="55" t="s">
        <v>200</v>
      </c>
      <c r="E144" s="55"/>
    </row>
    <row r="145" spans="2:5" s="44" customFormat="1" ht="15" outlineLevel="1">
      <c r="B145" s="363"/>
      <c r="C145" s="50">
        <v>637060</v>
      </c>
      <c r="D145" s="55" t="s">
        <v>201</v>
      </c>
      <c r="E145" s="55"/>
    </row>
    <row r="146" spans="2:5" s="44" customFormat="1" ht="15" outlineLevel="1">
      <c r="B146" s="363"/>
      <c r="C146" s="50">
        <v>637070</v>
      </c>
      <c r="D146" s="55" t="s">
        <v>202</v>
      </c>
      <c r="E146" s="55"/>
    </row>
    <row r="147" spans="2:5" s="44" customFormat="1" ht="15" outlineLevel="1">
      <c r="B147" s="363"/>
      <c r="C147" s="50">
        <v>637071</v>
      </c>
      <c r="D147" s="55" t="s">
        <v>203</v>
      </c>
      <c r="E147" s="55"/>
    </row>
    <row r="148" spans="2:5" s="44" customFormat="1" ht="15" outlineLevel="1">
      <c r="B148" s="363"/>
      <c r="C148" s="50">
        <v>637072</v>
      </c>
      <c r="D148" s="55" t="s">
        <v>204</v>
      </c>
      <c r="E148" s="55"/>
    </row>
    <row r="149" spans="2:5" s="44" customFormat="1" ht="15" outlineLevel="1">
      <c r="B149" s="363"/>
      <c r="C149" s="50">
        <v>637072</v>
      </c>
      <c r="D149" s="55" t="s">
        <v>205</v>
      </c>
      <c r="E149" s="55"/>
    </row>
    <row r="150" spans="2:5" s="44" customFormat="1" ht="15" outlineLevel="1">
      <c r="B150" s="363"/>
      <c r="C150" s="50">
        <v>637080</v>
      </c>
      <c r="D150" s="55" t="s">
        <v>206</v>
      </c>
      <c r="E150" s="55"/>
    </row>
    <row r="151" spans="2:5" s="44" customFormat="1" ht="15" outlineLevel="1">
      <c r="B151" s="363"/>
      <c r="C151" s="59" t="s">
        <v>207</v>
      </c>
      <c r="D151" s="55" t="s">
        <v>208</v>
      </c>
      <c r="E151" s="55"/>
    </row>
    <row r="152" spans="2:5" s="44" customFormat="1" ht="15" outlineLevel="1">
      <c r="B152" s="363"/>
      <c r="C152" s="45">
        <v>639000</v>
      </c>
      <c r="D152" s="46" t="s">
        <v>209</v>
      </c>
      <c r="E152" s="46"/>
    </row>
    <row r="153" spans="2:5" s="44" customFormat="1" ht="15">
      <c r="B153" s="363"/>
      <c r="C153" s="49"/>
      <c r="D153" s="47"/>
      <c r="E153" s="47"/>
    </row>
    <row r="154" spans="2:5" customFormat="1" ht="16.5" thickBot="1">
      <c r="C154" s="23"/>
      <c r="D154" s="24"/>
      <c r="E154" s="323"/>
    </row>
    <row r="155" spans="2:5" customFormat="1" ht="16.5" thickBot="1">
      <c r="B155" s="27" t="s">
        <v>210</v>
      </c>
      <c r="C155" s="28"/>
      <c r="D155" s="339"/>
      <c r="E155" s="340">
        <v>0</v>
      </c>
    </row>
    <row r="156" spans="2:5" ht="15" hidden="1" customHeight="1" outlineLevel="1">
      <c r="C156" s="374">
        <v>640000</v>
      </c>
      <c r="D156" s="369" t="s">
        <v>211</v>
      </c>
      <c r="E156" s="369"/>
    </row>
    <row r="157" spans="2:5" ht="15" hidden="1" customHeight="1" outlineLevel="1">
      <c r="C157" s="374">
        <v>640000</v>
      </c>
      <c r="D157" s="369" t="s">
        <v>212</v>
      </c>
      <c r="E157" s="369"/>
    </row>
    <row r="158" spans="2:5" s="44" customFormat="1" ht="15" hidden="1" outlineLevel="1">
      <c r="B158" s="363"/>
      <c r="C158" s="50">
        <v>640000</v>
      </c>
      <c r="D158" s="55" t="s">
        <v>213</v>
      </c>
      <c r="E158" s="55">
        <v>0</v>
      </c>
    </row>
    <row r="159" spans="2:5" s="44" customFormat="1" ht="15" hidden="1" outlineLevel="1">
      <c r="B159" s="363"/>
      <c r="C159" s="45">
        <v>640010</v>
      </c>
      <c r="D159" s="46" t="s">
        <v>214</v>
      </c>
      <c r="E159" s="55"/>
    </row>
    <row r="160" spans="2:5" s="44" customFormat="1" ht="15" hidden="1" outlineLevel="1">
      <c r="B160" s="363"/>
      <c r="C160" s="45">
        <v>640020</v>
      </c>
      <c r="D160" s="46" t="s">
        <v>213</v>
      </c>
      <c r="E160" s="55"/>
    </row>
    <row r="161" spans="2:5" s="44" customFormat="1" ht="15" hidden="1" outlineLevel="1">
      <c r="B161" s="363"/>
      <c r="C161" s="370">
        <v>640020</v>
      </c>
      <c r="D161" s="371" t="s">
        <v>215</v>
      </c>
      <c r="E161" s="371"/>
    </row>
    <row r="162" spans="2:5" s="44" customFormat="1" ht="15" hidden="1" outlineLevel="1">
      <c r="B162" s="363"/>
      <c r="C162" s="372">
        <v>640030</v>
      </c>
      <c r="D162" s="373" t="s">
        <v>216</v>
      </c>
      <c r="E162" s="373"/>
    </row>
    <row r="163" spans="2:5" s="44" customFormat="1" ht="15" hidden="1" outlineLevel="1">
      <c r="B163" s="363"/>
      <c r="C163" s="374">
        <v>640030</v>
      </c>
      <c r="D163" s="369" t="s">
        <v>217</v>
      </c>
      <c r="E163" s="369"/>
    </row>
    <row r="164" spans="2:5" s="44" customFormat="1" ht="15" hidden="1" outlineLevel="1">
      <c r="B164" s="363"/>
      <c r="C164" s="50">
        <v>640030</v>
      </c>
      <c r="D164" s="55" t="s">
        <v>218</v>
      </c>
      <c r="E164" s="55">
        <v>0</v>
      </c>
    </row>
    <row r="165" spans="2:5" s="44" customFormat="1" ht="15" hidden="1" outlineLevel="1">
      <c r="B165" s="363"/>
      <c r="C165" s="50">
        <v>642000</v>
      </c>
      <c r="D165" s="55" t="s">
        <v>219</v>
      </c>
      <c r="E165" s="55"/>
    </row>
    <row r="166" spans="2:5" s="44" customFormat="1" ht="15" hidden="1" outlineLevel="1">
      <c r="B166" s="363"/>
      <c r="C166" s="50">
        <v>642100</v>
      </c>
      <c r="D166" s="55" t="s">
        <v>219</v>
      </c>
      <c r="E166" s="55"/>
    </row>
    <row r="167" spans="2:5" s="44" customFormat="1" ht="15" hidden="1" outlineLevel="1">
      <c r="B167" s="363"/>
      <c r="C167" s="45">
        <v>644000</v>
      </c>
      <c r="D167" s="46" t="s">
        <v>220</v>
      </c>
      <c r="E167" s="55">
        <v>500</v>
      </c>
    </row>
    <row r="168" spans="2:5" s="44" customFormat="1" ht="15" collapsed="1">
      <c r="B168" s="363"/>
      <c r="C168" s="49"/>
      <c r="D168" s="47"/>
      <c r="E168" s="47"/>
    </row>
    <row r="169" spans="2:5" customFormat="1" ht="0.95" customHeight="1" thickBot="1">
      <c r="C169" s="23"/>
      <c r="D169" s="24"/>
      <c r="E169" s="323"/>
    </row>
    <row r="170" spans="2:5" customFormat="1" ht="16.5" thickBot="1">
      <c r="B170" s="27" t="s">
        <v>84</v>
      </c>
      <c r="C170" s="28"/>
      <c r="D170" s="339"/>
      <c r="E170" s="340">
        <f>SUM(E177:E183)</f>
        <v>2000</v>
      </c>
    </row>
    <row r="171" spans="2:5" s="44" customFormat="1" ht="15" outlineLevel="1">
      <c r="B171" s="363"/>
      <c r="C171" s="374">
        <v>650000</v>
      </c>
      <c r="D171" s="369" t="s">
        <v>221</v>
      </c>
      <c r="E171" s="369"/>
    </row>
    <row r="172" spans="2:5" s="44" customFormat="1" ht="15" outlineLevel="1">
      <c r="B172" s="363"/>
      <c r="C172" s="374">
        <v>650000</v>
      </c>
      <c r="D172" s="369" t="s">
        <v>222</v>
      </c>
      <c r="E172" s="369"/>
    </row>
    <row r="173" spans="2:5" s="44" customFormat="1" ht="15" outlineLevel="1">
      <c r="B173" s="363"/>
      <c r="C173" s="374">
        <v>650000</v>
      </c>
      <c r="D173" s="386" t="s">
        <v>223</v>
      </c>
      <c r="E173" s="386"/>
    </row>
    <row r="174" spans="2:5" s="44" customFormat="1" ht="15" outlineLevel="1">
      <c r="B174" s="363"/>
      <c r="C174" s="374">
        <v>650000</v>
      </c>
      <c r="D174" s="386" t="s">
        <v>224</v>
      </c>
      <c r="E174" s="386"/>
    </row>
    <row r="175" spans="2:5" s="44" customFormat="1" ht="15" outlineLevel="1">
      <c r="B175" s="363"/>
      <c r="C175" s="374">
        <v>650000</v>
      </c>
      <c r="D175" s="386" t="s">
        <v>225</v>
      </c>
      <c r="E175" s="386"/>
    </row>
    <row r="176" spans="2:5" s="44" customFormat="1" ht="15" outlineLevel="1">
      <c r="B176" s="363"/>
      <c r="C176" s="374">
        <v>650000</v>
      </c>
      <c r="D176" s="386" t="s">
        <v>226</v>
      </c>
      <c r="E176" s="386"/>
    </row>
    <row r="177" spans="2:5" s="44" customFormat="1" ht="15" outlineLevel="1">
      <c r="B177" s="363"/>
      <c r="C177" s="50">
        <v>650000</v>
      </c>
      <c r="D177" s="51" t="s">
        <v>227</v>
      </c>
      <c r="E177" s="51">
        <v>0</v>
      </c>
    </row>
    <row r="178" spans="2:5" s="44" customFormat="1" ht="15" outlineLevel="1">
      <c r="B178" s="363"/>
      <c r="C178" s="45">
        <v>657000</v>
      </c>
      <c r="D178" s="46" t="s">
        <v>228</v>
      </c>
      <c r="E178" s="46">
        <v>900</v>
      </c>
    </row>
    <row r="179" spans="2:5" s="44" customFormat="1" ht="15" outlineLevel="1">
      <c r="B179" s="363"/>
      <c r="C179" s="45">
        <v>670000</v>
      </c>
      <c r="D179" s="46" t="s">
        <v>229</v>
      </c>
      <c r="E179" s="46"/>
    </row>
    <row r="180" spans="2:5" s="44" customFormat="1" ht="15" outlineLevel="1">
      <c r="B180" s="363"/>
      <c r="C180" s="45">
        <v>670100</v>
      </c>
      <c r="D180" s="46" t="s">
        <v>230</v>
      </c>
      <c r="E180" s="46">
        <v>1100</v>
      </c>
    </row>
    <row r="181" spans="2:5" s="44" customFormat="1" ht="15" outlineLevel="1">
      <c r="B181" s="363"/>
      <c r="C181" s="45">
        <v>670200</v>
      </c>
      <c r="D181" s="46" t="s">
        <v>231</v>
      </c>
      <c r="E181" s="46"/>
    </row>
    <row r="182" spans="2:5" s="44" customFormat="1" ht="15" outlineLevel="1">
      <c r="B182" s="363"/>
      <c r="C182" s="45">
        <v>671000</v>
      </c>
      <c r="D182" s="46" t="s">
        <v>232</v>
      </c>
      <c r="E182" s="46"/>
    </row>
    <row r="183" spans="2:5" s="44" customFormat="1" ht="15" outlineLevel="1">
      <c r="B183" s="363"/>
      <c r="C183" s="45">
        <v>690000</v>
      </c>
      <c r="D183" s="46" t="s">
        <v>233</v>
      </c>
      <c r="E183" s="46"/>
    </row>
    <row r="184" spans="2:5" s="44" customFormat="1" ht="15.75" thickBot="1">
      <c r="B184" s="363"/>
      <c r="C184" s="49"/>
      <c r="D184" s="47"/>
      <c r="E184" s="47"/>
    </row>
    <row r="185" spans="2:5" customFormat="1" ht="16.5" hidden="1" thickBot="1">
      <c r="C185" s="23"/>
      <c r="D185" s="24"/>
      <c r="E185" s="323"/>
    </row>
    <row r="186" spans="2:5" customFormat="1" ht="16.5" thickBot="1">
      <c r="B186" s="27" t="s">
        <v>234</v>
      </c>
      <c r="C186" s="28"/>
      <c r="D186" s="339"/>
      <c r="E186" s="340">
        <v>0</v>
      </c>
    </row>
    <row r="187" spans="2:5" s="44" customFormat="1" ht="15" outlineLevel="1">
      <c r="B187" s="363"/>
      <c r="C187" s="50">
        <v>660200</v>
      </c>
      <c r="D187" s="55" t="s">
        <v>235</v>
      </c>
      <c r="E187" s="55"/>
    </row>
    <row r="188" spans="2:5" s="44" customFormat="1" ht="15" outlineLevel="1">
      <c r="B188" s="363"/>
      <c r="C188" s="45">
        <v>664001</v>
      </c>
      <c r="D188" s="46" t="s">
        <v>236</v>
      </c>
      <c r="E188" s="46"/>
    </row>
    <row r="189" spans="2:5" s="44" customFormat="1" ht="15">
      <c r="B189" s="363"/>
      <c r="C189" s="49"/>
      <c r="D189" s="47"/>
      <c r="E189" s="47"/>
    </row>
    <row r="190" spans="2:5" customFormat="1" ht="15.75" hidden="1">
      <c r="C190" s="23"/>
      <c r="D190" s="24"/>
      <c r="E190" s="323"/>
    </row>
    <row r="191" spans="2:5" ht="15.95" customHeight="1" thickBot="1"/>
    <row r="192" spans="2:5" ht="22.5" thickTop="1" thickBot="1">
      <c r="D192" s="333" t="s">
        <v>237</v>
      </c>
      <c r="E192" s="334">
        <v>-1430337.58</v>
      </c>
    </row>
    <row r="193" spans="5:5" ht="21.75" thickTop="1"/>
    <row r="194" spans="5:5" hidden="1">
      <c r="E194" s="211">
        <f>+E3</f>
        <v>3000</v>
      </c>
    </row>
    <row r="195" spans="5:5" hidden="1">
      <c r="E195" s="211">
        <f>+E9</f>
        <v>37000</v>
      </c>
    </row>
    <row r="196" spans="5:5" hidden="1">
      <c r="E196" s="211">
        <f>+E15</f>
        <v>46500</v>
      </c>
    </row>
    <row r="197" spans="5:5" hidden="1">
      <c r="E197" s="211">
        <f>+E27</f>
        <v>7500</v>
      </c>
    </row>
    <row r="198" spans="5:5" hidden="1">
      <c r="E198" s="211">
        <f>+E32</f>
        <v>30900</v>
      </c>
    </row>
    <row r="199" spans="5:5" hidden="1">
      <c r="E199" s="211">
        <f>+E42</f>
        <v>161500</v>
      </c>
    </row>
    <row r="200" spans="5:5" hidden="1">
      <c r="E200" s="211">
        <f>+E54</f>
        <v>18000</v>
      </c>
    </row>
    <row r="201" spans="5:5" hidden="1">
      <c r="E201" s="211">
        <f>+E59</f>
        <v>15000</v>
      </c>
    </row>
    <row r="202" spans="5:5" hidden="1">
      <c r="E202" s="211">
        <f>+E65</f>
        <v>109739</v>
      </c>
    </row>
    <row r="203" spans="5:5" hidden="1">
      <c r="E203" s="211">
        <f>+E74</f>
        <v>215298.78</v>
      </c>
    </row>
    <row r="204" spans="5:5" hidden="1">
      <c r="E204" s="211">
        <f>+E78</f>
        <v>492666.36</v>
      </c>
    </row>
    <row r="205" spans="5:5" hidden="1">
      <c r="E205" s="211">
        <f>+E99</f>
        <v>117733.44</v>
      </c>
    </row>
    <row r="206" spans="5:5" hidden="1">
      <c r="E206" s="211">
        <f>+E113</f>
        <v>123300</v>
      </c>
    </row>
    <row r="207" spans="5:5" hidden="1">
      <c r="E207" s="211">
        <f>+E125</f>
        <v>30000</v>
      </c>
    </row>
    <row r="208" spans="5:5" hidden="1">
      <c r="E208" s="211">
        <f>+E136</f>
        <v>20000</v>
      </c>
    </row>
    <row r="209" spans="5:5" hidden="1">
      <c r="E209" s="211">
        <f>+E170</f>
        <v>2000</v>
      </c>
    </row>
    <row r="210" spans="5:5" hidden="1"/>
    <row r="211" spans="5:5" hidden="1">
      <c r="E211" s="211">
        <f>SUM(E194:E209)</f>
        <v>1430137.58</v>
      </c>
    </row>
  </sheetData>
  <pageMargins left="0.2" right="0.2" top="0.25" bottom="0.25" header="0.3" footer="0.3"/>
  <pageSetup paperSize="9" orientation="landscape" horizontalDpi="0" verticalDpi="0"/>
  <rowBreaks count="3" manualBreakCount="3">
    <brk id="13" max="16383" man="1"/>
    <brk id="97" max="16383" man="1"/>
    <brk id="111" max="16383" man="1"/>
  </rowBreaks>
  <ignoredErrors>
    <ignoredError sqref="E6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8014-9335-4341-BB37-0C8D662873B4}">
  <dimension ref="A1:D5"/>
  <sheetViews>
    <sheetView workbookViewId="0">
      <selection activeCell="E25" sqref="E25"/>
    </sheetView>
  </sheetViews>
  <sheetFormatPr defaultColWidth="11" defaultRowHeight="15.75"/>
  <cols>
    <col min="1" max="1" width="3.125" customWidth="1"/>
    <col min="2" max="2" width="7.125" bestFit="1" customWidth="1"/>
    <col min="3" max="3" width="31.5" bestFit="1" customWidth="1"/>
  </cols>
  <sheetData>
    <row r="1" spans="1:4" ht="16.5" thickBot="1">
      <c r="A1" s="27" t="s">
        <v>73</v>
      </c>
      <c r="B1" s="28"/>
      <c r="C1" s="29"/>
      <c r="D1" s="322">
        <f>SUM(D2:D9)</f>
        <v>215498.78</v>
      </c>
    </row>
    <row r="2" spans="1:4" ht="21">
      <c r="A2" s="10"/>
      <c r="B2" s="50">
        <v>620000</v>
      </c>
      <c r="C2" s="55" t="s">
        <v>141</v>
      </c>
      <c r="D2" s="47">
        <v>121780</v>
      </c>
    </row>
    <row r="3" spans="1:4" ht="21">
      <c r="A3" s="10"/>
      <c r="B3" s="50">
        <v>620100</v>
      </c>
      <c r="C3" s="55" t="s">
        <v>238</v>
      </c>
      <c r="D3">
        <v>59486.78</v>
      </c>
    </row>
    <row r="4" spans="1:4" ht="21">
      <c r="A4" s="10"/>
      <c r="B4" s="50">
        <v>620105</v>
      </c>
      <c r="C4" s="55" t="s">
        <v>239</v>
      </c>
      <c r="D4" s="47">
        <v>30232</v>
      </c>
    </row>
    <row r="5" spans="1:4" ht="21">
      <c r="A5" s="10"/>
      <c r="B5" s="50">
        <v>622000</v>
      </c>
      <c r="C5" s="55" t="s">
        <v>142</v>
      </c>
      <c r="D5" s="47">
        <v>4000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C7D5-08DB-264F-9512-9FCABEBCFEA0}">
  <dimension ref="B1:V121"/>
  <sheetViews>
    <sheetView topLeftCell="A65" zoomScale="126" zoomScaleNormal="126" workbookViewId="0">
      <selection activeCell="V76" sqref="V76"/>
    </sheetView>
  </sheetViews>
  <sheetFormatPr defaultColWidth="11.5" defaultRowHeight="15"/>
  <cols>
    <col min="1" max="1" width="1.125" style="44" customWidth="1"/>
    <col min="2" max="2" width="4" style="44" customWidth="1"/>
    <col min="3" max="3" width="7.125" style="109" bestFit="1" customWidth="1"/>
    <col min="4" max="4" width="54" style="44" customWidth="1"/>
    <col min="5" max="5" width="5.125" style="44" bestFit="1" customWidth="1"/>
    <col min="6" max="6" width="11.875" style="112" hidden="1" customWidth="1"/>
    <col min="7" max="7" width="13.5" style="44" hidden="1" customWidth="1"/>
    <col min="8" max="8" width="6.875" style="141" hidden="1" customWidth="1"/>
    <col min="9" max="9" width="0.125" style="44" hidden="1" customWidth="1"/>
    <col min="10" max="10" width="11.625" style="112" hidden="1" customWidth="1"/>
    <col min="11" max="11" width="3" style="44" hidden="1" customWidth="1"/>
    <col min="12" max="12" width="13.125" style="44" hidden="1" customWidth="1"/>
    <col min="13" max="13" width="1.875" style="44" hidden="1" customWidth="1"/>
    <col min="14" max="14" width="5.125" style="44" hidden="1" customWidth="1"/>
    <col min="15" max="15" width="13.5" style="44" customWidth="1"/>
    <col min="16" max="16" width="1.625" style="44" customWidth="1"/>
    <col min="17" max="17" width="0.125" style="112" hidden="1" customWidth="1"/>
    <col min="18" max="18" width="0.125" style="44" hidden="1" customWidth="1"/>
    <col min="19" max="19" width="11.875" style="112" hidden="1" customWidth="1"/>
    <col min="20" max="16384" width="11.5" style="44"/>
  </cols>
  <sheetData>
    <row r="1" spans="2:19" customFormat="1" ht="48" customHeight="1" thickBot="1">
      <c r="C1" s="133"/>
      <c r="D1" s="31" t="s">
        <v>240</v>
      </c>
      <c r="E1" s="31"/>
      <c r="F1" s="344" t="str">
        <f>+'[1]Ventilation CLASSE 6'!E6</f>
        <v>BUDGET 2024</v>
      </c>
      <c r="G1" s="355" t="str">
        <f>+'[1]Ventilation CLASSE 6'!F6</f>
        <v>Au 27/11/2024</v>
      </c>
      <c r="H1" s="142"/>
      <c r="J1" s="344" t="s">
        <v>241</v>
      </c>
      <c r="K1" s="97"/>
      <c r="L1" s="345" t="s">
        <v>51</v>
      </c>
      <c r="M1" s="295"/>
      <c r="N1" s="97"/>
      <c r="O1" s="345" t="s">
        <v>242</v>
      </c>
      <c r="P1" s="97"/>
      <c r="Q1" s="81" t="s">
        <v>243</v>
      </c>
      <c r="R1" s="97"/>
      <c r="S1" s="81" t="s">
        <v>244</v>
      </c>
    </row>
    <row r="2" spans="2:19" customFormat="1" ht="16.5" thickBot="1">
      <c r="B2" s="27" t="s">
        <v>245</v>
      </c>
      <c r="C2" s="134"/>
      <c r="D2" s="349"/>
      <c r="E2" s="349"/>
      <c r="F2" s="350">
        <f>SUM(F3:F4)</f>
        <v>5500</v>
      </c>
      <c r="G2" s="350">
        <f>SUM(G3:G4)</f>
        <v>820</v>
      </c>
      <c r="H2" s="351">
        <f>+G2/F2</f>
        <v>0.14909090909090908</v>
      </c>
      <c r="I2" s="352"/>
      <c r="J2" s="350">
        <f>SUM(J3:J4)</f>
        <v>5500</v>
      </c>
      <c r="K2" s="352"/>
      <c r="L2" s="350">
        <f>SUM(L3:L4)</f>
        <v>820</v>
      </c>
      <c r="M2" s="350"/>
      <c r="N2" s="352"/>
      <c r="O2" s="353">
        <f>SUM(O3:O4)</f>
        <v>1000</v>
      </c>
      <c r="Q2" s="37">
        <f>SUM(Q3:Q4)</f>
        <v>5500</v>
      </c>
      <c r="S2" s="37">
        <f>SUM(S3:S4)</f>
        <v>5500</v>
      </c>
    </row>
    <row r="3" spans="2:19">
      <c r="B3" s="363"/>
      <c r="C3" s="356">
        <v>700000</v>
      </c>
      <c r="D3" s="3" t="s">
        <v>246</v>
      </c>
      <c r="E3" s="3"/>
      <c r="F3" s="122">
        <v>5500</v>
      </c>
      <c r="G3" s="2">
        <f>+L3</f>
        <v>820</v>
      </c>
      <c r="H3" s="143"/>
      <c r="I3" s="267"/>
      <c r="J3" s="268">
        <v>5500</v>
      </c>
      <c r="K3" s="267"/>
      <c r="L3" s="3">
        <v>820</v>
      </c>
      <c r="M3" s="5"/>
      <c r="N3" s="267"/>
      <c r="O3" s="3">
        <v>1000</v>
      </c>
      <c r="P3" s="267"/>
      <c r="Q3" s="266">
        <v>5500</v>
      </c>
      <c r="R3" s="267"/>
      <c r="S3" s="266">
        <v>5500</v>
      </c>
    </row>
    <row r="4" spans="2:19">
      <c r="B4" s="363"/>
      <c r="C4" s="115">
        <v>700100</v>
      </c>
      <c r="D4" s="4" t="s">
        <v>247</v>
      </c>
      <c r="E4" s="4"/>
      <c r="F4" s="116">
        <v>0</v>
      </c>
      <c r="G4" s="4">
        <f>+L4</f>
        <v>0</v>
      </c>
      <c r="H4" s="143"/>
      <c r="I4" s="267"/>
      <c r="J4" s="266">
        <v>0</v>
      </c>
      <c r="K4" s="267"/>
      <c r="L4" s="4">
        <v>0</v>
      </c>
      <c r="M4" s="5"/>
      <c r="N4" s="267"/>
      <c r="O4" s="4"/>
      <c r="P4" s="267"/>
      <c r="Q4" s="266">
        <v>0</v>
      </c>
      <c r="R4" s="267"/>
      <c r="S4" s="266">
        <v>0</v>
      </c>
    </row>
    <row r="5" spans="2:19" ht="8.1" customHeight="1" thickBot="1">
      <c r="B5" s="363"/>
      <c r="C5" s="117"/>
      <c r="D5" s="5"/>
      <c r="E5" s="5"/>
      <c r="F5" s="118"/>
      <c r="G5" s="5"/>
      <c r="H5" s="143"/>
      <c r="I5" s="363"/>
      <c r="J5" s="118"/>
      <c r="K5" s="363"/>
      <c r="L5" s="5"/>
      <c r="M5" s="5"/>
      <c r="N5" s="363"/>
      <c r="O5" s="5"/>
      <c r="P5" s="363"/>
      <c r="Q5" s="118"/>
      <c r="R5" s="363"/>
      <c r="S5" s="118"/>
    </row>
    <row r="6" spans="2:19" customFormat="1" ht="174" hidden="1" thickBot="1">
      <c r="C6" s="133"/>
      <c r="D6" s="31"/>
      <c r="E6" s="31"/>
      <c r="F6" s="344" t="str">
        <f>+F$1</f>
        <v>BUDGET 2024</v>
      </c>
      <c r="G6" s="145" t="str">
        <f>G$1</f>
        <v>Au 27/11/2024</v>
      </c>
      <c r="H6" s="141"/>
      <c r="J6" s="344" t="str">
        <f>+J$1</f>
        <v>BUD 2025 Adeps A</v>
      </c>
      <c r="K6" s="97"/>
      <c r="L6" s="345">
        <v>45930</v>
      </c>
      <c r="M6" s="295"/>
      <c r="N6" s="97"/>
      <c r="O6" s="345">
        <v>45930</v>
      </c>
      <c r="P6" s="97"/>
      <c r="Q6" s="81" t="str">
        <f>+Q$1</f>
        <v>BUD 2025 base</v>
      </c>
      <c r="R6" s="97"/>
      <c r="S6" s="81" t="str">
        <f>+S$1</f>
        <v>BUD 2025 Adeps B</v>
      </c>
    </row>
    <row r="7" spans="2:19" customFormat="1" ht="16.5" thickBot="1">
      <c r="B7" s="27" t="s">
        <v>58</v>
      </c>
      <c r="C7" s="134"/>
      <c r="D7" s="349"/>
      <c r="E7" s="349"/>
      <c r="F7" s="350">
        <f>SUM(F8:F16)</f>
        <v>67000</v>
      </c>
      <c r="G7" s="350">
        <f>SUM(G8:G16)</f>
        <v>56685</v>
      </c>
      <c r="H7" s="351">
        <f>+G7/F7</f>
        <v>0.84604477611940299</v>
      </c>
      <c r="I7" s="352"/>
      <c r="J7" s="350">
        <f>SUM(J8:J16)</f>
        <v>67000</v>
      </c>
      <c r="K7" s="352"/>
      <c r="L7" s="350">
        <f>SUM(L8:L16)</f>
        <v>56685</v>
      </c>
      <c r="M7" s="350"/>
      <c r="N7" s="352"/>
      <c r="O7" s="353">
        <f>SUM(O8:O16)</f>
        <v>57000</v>
      </c>
      <c r="Q7" s="37">
        <f>SUM(Q8:Q16)</f>
        <v>67000</v>
      </c>
      <c r="S7" s="37">
        <f>SUM(S8:S16)</f>
        <v>67000</v>
      </c>
    </row>
    <row r="8" spans="2:19">
      <c r="B8" s="363"/>
      <c r="C8" s="356">
        <v>701000</v>
      </c>
      <c r="D8" s="3" t="s">
        <v>248</v>
      </c>
      <c r="E8" s="3"/>
      <c r="F8" s="122">
        <v>15000</v>
      </c>
      <c r="G8" s="2">
        <f>+L8</f>
        <v>14955</v>
      </c>
      <c r="H8" s="143"/>
      <c r="I8" s="267"/>
      <c r="J8" s="268">
        <v>15000</v>
      </c>
      <c r="K8" s="267"/>
      <c r="L8" s="2">
        <v>14955</v>
      </c>
      <c r="M8" s="5"/>
      <c r="N8" s="267"/>
      <c r="O8" s="2">
        <v>15000</v>
      </c>
      <c r="P8" s="267"/>
      <c r="Q8" s="266">
        <v>15000</v>
      </c>
      <c r="R8" s="267"/>
      <c r="S8" s="266">
        <v>15000</v>
      </c>
    </row>
    <row r="9" spans="2:19">
      <c r="B9" s="363"/>
      <c r="C9" s="115">
        <v>701010</v>
      </c>
      <c r="D9" s="4" t="s">
        <v>249</v>
      </c>
      <c r="E9" s="4"/>
      <c r="F9" s="116">
        <v>0</v>
      </c>
      <c r="G9" s="1">
        <f>+L9</f>
        <v>0</v>
      </c>
      <c r="H9" s="143"/>
      <c r="I9" s="267"/>
      <c r="J9" s="266">
        <v>0</v>
      </c>
      <c r="K9" s="267"/>
      <c r="L9" s="1">
        <v>0</v>
      </c>
      <c r="M9" s="5"/>
      <c r="N9" s="267"/>
      <c r="O9" s="1"/>
      <c r="P9" s="267"/>
      <c r="Q9" s="266">
        <v>0</v>
      </c>
      <c r="R9" s="267"/>
      <c r="S9" s="266">
        <v>0</v>
      </c>
    </row>
    <row r="10" spans="2:19">
      <c r="B10" s="363"/>
      <c r="C10" s="387">
        <v>701100</v>
      </c>
      <c r="D10" s="388" t="s">
        <v>250</v>
      </c>
      <c r="E10" s="388"/>
      <c r="F10" s="119"/>
      <c r="G10" s="389"/>
      <c r="H10" s="144"/>
      <c r="I10" s="363"/>
      <c r="J10" s="119"/>
      <c r="K10" s="363"/>
      <c r="L10" s="388"/>
      <c r="M10" s="363"/>
      <c r="N10" s="363"/>
      <c r="O10" s="388"/>
      <c r="P10" s="363"/>
      <c r="Q10" s="119"/>
      <c r="R10" s="363"/>
      <c r="S10" s="119"/>
    </row>
    <row r="11" spans="2:19">
      <c r="B11" s="363"/>
      <c r="C11" s="390">
        <v>701100</v>
      </c>
      <c r="D11" s="391" t="s">
        <v>251</v>
      </c>
      <c r="E11" s="391"/>
      <c r="F11" s="120"/>
      <c r="G11" s="392"/>
      <c r="H11" s="144"/>
      <c r="I11" s="363"/>
      <c r="J11" s="120"/>
      <c r="K11" s="363"/>
      <c r="L11" s="391">
        <v>0</v>
      </c>
      <c r="M11" s="363"/>
      <c r="N11" s="363"/>
      <c r="O11" s="391">
        <v>0</v>
      </c>
      <c r="P11" s="363"/>
      <c r="Q11" s="120"/>
      <c r="R11" s="363"/>
      <c r="S11" s="120"/>
    </row>
    <row r="12" spans="2:19">
      <c r="B12" s="363"/>
      <c r="C12" s="390">
        <v>701100</v>
      </c>
      <c r="D12" s="391" t="s">
        <v>252</v>
      </c>
      <c r="E12" s="391"/>
      <c r="F12" s="120"/>
      <c r="G12" s="392"/>
      <c r="H12" s="144"/>
      <c r="I12" s="363"/>
      <c r="J12" s="120"/>
      <c r="K12" s="363"/>
      <c r="L12" s="391">
        <v>0</v>
      </c>
      <c r="M12" s="363"/>
      <c r="N12" s="363"/>
      <c r="O12" s="391">
        <v>0</v>
      </c>
      <c r="P12" s="363"/>
      <c r="Q12" s="120"/>
      <c r="R12" s="363"/>
      <c r="S12" s="120"/>
    </row>
    <row r="13" spans="2:19">
      <c r="B13" s="363"/>
      <c r="C13" s="121">
        <v>701100</v>
      </c>
      <c r="D13" s="3" t="s">
        <v>250</v>
      </c>
      <c r="E13" s="3"/>
      <c r="F13" s="122">
        <v>25000</v>
      </c>
      <c r="G13" s="3">
        <f>+L13</f>
        <v>41730</v>
      </c>
      <c r="H13" s="143"/>
      <c r="I13" s="363"/>
      <c r="J13" s="268">
        <v>25000</v>
      </c>
      <c r="K13" s="267"/>
      <c r="L13" s="3">
        <v>41730</v>
      </c>
      <c r="M13" s="5"/>
      <c r="N13" s="267"/>
      <c r="O13" s="3">
        <v>42000</v>
      </c>
      <c r="P13" s="267"/>
      <c r="Q13" s="268">
        <v>25000</v>
      </c>
      <c r="R13" s="267"/>
      <c r="S13" s="268">
        <v>25000</v>
      </c>
    </row>
    <row r="14" spans="2:19">
      <c r="B14" s="363"/>
      <c r="C14" s="115">
        <v>701200</v>
      </c>
      <c r="D14" s="4" t="s">
        <v>253</v>
      </c>
      <c r="E14" s="4"/>
      <c r="F14" s="116">
        <v>0</v>
      </c>
      <c r="G14" s="1">
        <f>+L14</f>
        <v>0</v>
      </c>
      <c r="H14" s="143"/>
      <c r="I14" s="363"/>
      <c r="J14" s="266">
        <v>0</v>
      </c>
      <c r="K14" s="267"/>
      <c r="L14" s="1">
        <v>0</v>
      </c>
      <c r="M14" s="5"/>
      <c r="N14" s="267"/>
      <c r="O14" s="1">
        <v>0</v>
      </c>
      <c r="P14" s="267"/>
      <c r="Q14" s="266">
        <v>0</v>
      </c>
      <c r="R14" s="267"/>
      <c r="S14" s="266">
        <v>0</v>
      </c>
    </row>
    <row r="15" spans="2:19">
      <c r="B15" s="363"/>
      <c r="C15" s="115">
        <v>701400</v>
      </c>
      <c r="D15" s="4" t="s">
        <v>254</v>
      </c>
      <c r="E15" s="4"/>
      <c r="F15" s="116">
        <v>17000</v>
      </c>
      <c r="G15" s="1">
        <f>+L15</f>
        <v>0</v>
      </c>
      <c r="H15" s="143"/>
      <c r="I15" s="363"/>
      <c r="J15" s="266">
        <v>17000</v>
      </c>
      <c r="K15" s="267"/>
      <c r="L15" s="1">
        <v>0</v>
      </c>
      <c r="M15" s="5"/>
      <c r="N15" s="267"/>
      <c r="O15" s="1">
        <v>0</v>
      </c>
      <c r="P15" s="267"/>
      <c r="Q15" s="266">
        <v>17000</v>
      </c>
      <c r="R15" s="267"/>
      <c r="S15" s="266">
        <v>17000</v>
      </c>
    </row>
    <row r="16" spans="2:19">
      <c r="B16" s="363"/>
      <c r="C16" s="115">
        <v>701410</v>
      </c>
      <c r="D16" s="4" t="s">
        <v>255</v>
      </c>
      <c r="E16" s="4"/>
      <c r="F16" s="116">
        <v>10000</v>
      </c>
      <c r="G16" s="4">
        <f>+L16</f>
        <v>0</v>
      </c>
      <c r="H16" s="143"/>
      <c r="I16" s="363"/>
      <c r="J16" s="266">
        <v>10000</v>
      </c>
      <c r="K16" s="267"/>
      <c r="L16" s="4">
        <v>0</v>
      </c>
      <c r="M16" s="5"/>
      <c r="N16" s="267"/>
      <c r="O16" s="4">
        <v>0</v>
      </c>
      <c r="P16" s="267"/>
      <c r="Q16" s="266">
        <v>10000</v>
      </c>
      <c r="R16" s="267"/>
      <c r="S16" s="266">
        <v>10000</v>
      </c>
    </row>
    <row r="17" spans="2:19" hidden="1">
      <c r="B17" s="363"/>
      <c r="C17" s="117"/>
      <c r="D17" s="5"/>
      <c r="E17" s="5"/>
      <c r="F17" s="118"/>
      <c r="G17" s="5"/>
      <c r="H17" s="143"/>
      <c r="I17" s="363"/>
      <c r="J17" s="118"/>
      <c r="K17" s="363"/>
      <c r="L17" s="5"/>
      <c r="M17" s="5"/>
      <c r="N17" s="363"/>
      <c r="O17" s="5"/>
      <c r="P17" s="363"/>
      <c r="Q17" s="118"/>
      <c r="R17" s="363"/>
      <c r="S17" s="118"/>
    </row>
    <row r="18" spans="2:19" customFormat="1" ht="6.95" customHeight="1" thickBot="1">
      <c r="C18" s="133"/>
      <c r="D18" s="31"/>
      <c r="E18" s="31"/>
      <c r="F18" s="344" t="str">
        <f>+F$1</f>
        <v>BUDGET 2024</v>
      </c>
      <c r="G18" s="145" t="str">
        <f>G$1</f>
        <v>Au 27/11/2024</v>
      </c>
      <c r="H18" s="141"/>
      <c r="J18" s="344" t="str">
        <f>+J$1</f>
        <v>BUD 2025 Adeps A</v>
      </c>
      <c r="K18" s="97"/>
      <c r="L18" s="345">
        <v>45930</v>
      </c>
      <c r="M18" s="295"/>
      <c r="N18" s="97"/>
      <c r="O18" s="345"/>
      <c r="P18" s="97"/>
      <c r="Q18" s="81" t="str">
        <f>+Q$1</f>
        <v>BUD 2025 base</v>
      </c>
      <c r="R18" s="97"/>
      <c r="S18" s="81" t="str">
        <f>+S$1</f>
        <v>BUD 2025 Adeps B</v>
      </c>
    </row>
    <row r="19" spans="2:19" customFormat="1" ht="16.5" thickBot="1">
      <c r="B19" s="27" t="s">
        <v>60</v>
      </c>
      <c r="C19" s="134"/>
      <c r="D19" s="349"/>
      <c r="E19" s="349"/>
      <c r="F19" s="350">
        <f>SUM(F20:F21)</f>
        <v>5000</v>
      </c>
      <c r="G19" s="350">
        <f>SUM(G20:G21)</f>
        <v>2765</v>
      </c>
      <c r="H19" s="351">
        <f>+G19/F19</f>
        <v>0.55300000000000005</v>
      </c>
      <c r="I19" s="352"/>
      <c r="J19" s="350">
        <f>SUM(J20:J21)</f>
        <v>5000</v>
      </c>
      <c r="K19" s="352"/>
      <c r="L19" s="350">
        <f>SUM(L20:L21)</f>
        <v>2765</v>
      </c>
      <c r="M19" s="350"/>
      <c r="N19" s="352"/>
      <c r="O19" s="353">
        <f>SUM(O20:O21)</f>
        <v>3000</v>
      </c>
      <c r="Q19" s="37">
        <f>SUM(Q20:Q21)</f>
        <v>5000</v>
      </c>
      <c r="S19" s="37">
        <f>SUM(S20:S21)</f>
        <v>5000</v>
      </c>
    </row>
    <row r="20" spans="2:19">
      <c r="B20" s="363"/>
      <c r="C20" s="214">
        <v>702000</v>
      </c>
      <c r="D20" s="2" t="s">
        <v>256</v>
      </c>
      <c r="E20" s="2"/>
      <c r="F20" s="127">
        <v>2500</v>
      </c>
      <c r="G20" s="2">
        <f>+L20</f>
        <v>2765</v>
      </c>
      <c r="H20" s="143"/>
      <c r="I20" s="363"/>
      <c r="J20" s="348">
        <v>2500</v>
      </c>
      <c r="K20" s="267"/>
      <c r="L20" s="3">
        <v>2765</v>
      </c>
      <c r="M20" s="5"/>
      <c r="N20" s="267"/>
      <c r="O20" s="3">
        <v>3000</v>
      </c>
      <c r="P20" s="267"/>
      <c r="Q20" s="269">
        <v>2500</v>
      </c>
      <c r="R20" s="267"/>
      <c r="S20" s="269">
        <v>2500</v>
      </c>
    </row>
    <row r="21" spans="2:19">
      <c r="B21" s="363"/>
      <c r="C21" s="115">
        <v>702100</v>
      </c>
      <c r="D21" s="4" t="s">
        <v>257</v>
      </c>
      <c r="E21" s="4"/>
      <c r="F21" s="116">
        <v>2500</v>
      </c>
      <c r="G21" s="4">
        <f>+L21</f>
        <v>0</v>
      </c>
      <c r="H21" s="143"/>
      <c r="I21" s="363"/>
      <c r="J21" s="266">
        <v>2500</v>
      </c>
      <c r="K21" s="267"/>
      <c r="L21" s="4">
        <v>0</v>
      </c>
      <c r="M21" s="5"/>
      <c r="N21" s="267"/>
      <c r="O21" s="4">
        <v>0</v>
      </c>
      <c r="P21" s="267"/>
      <c r="Q21" s="266">
        <v>2500</v>
      </c>
      <c r="R21" s="267"/>
      <c r="S21" s="266">
        <v>2500</v>
      </c>
    </row>
    <row r="22" spans="2:19" hidden="1">
      <c r="B22" s="363"/>
      <c r="C22" s="117"/>
      <c r="D22" s="5"/>
      <c r="E22" s="5"/>
      <c r="F22" s="118"/>
      <c r="G22" s="5"/>
      <c r="H22" s="143"/>
      <c r="I22" s="363"/>
      <c r="J22" s="118"/>
      <c r="K22" s="363"/>
      <c r="L22" s="5"/>
      <c r="M22" s="5"/>
      <c r="N22" s="363"/>
      <c r="O22" s="5"/>
      <c r="P22" s="363"/>
      <c r="Q22" s="118"/>
      <c r="R22" s="363"/>
      <c r="S22" s="118"/>
    </row>
    <row r="23" spans="2:19" customFormat="1" ht="8.1" customHeight="1" thickBot="1">
      <c r="C23" s="133"/>
      <c r="D23" s="31"/>
      <c r="E23" s="31"/>
      <c r="F23" s="344" t="str">
        <f>+F$1</f>
        <v>BUDGET 2024</v>
      </c>
      <c r="G23" s="145" t="str">
        <f>G$1</f>
        <v>Au 27/11/2024</v>
      </c>
      <c r="H23" s="141"/>
      <c r="J23" s="344" t="str">
        <f>+J$1</f>
        <v>BUD 2025 Adeps A</v>
      </c>
      <c r="K23" s="97"/>
      <c r="L23" s="345">
        <v>45930</v>
      </c>
      <c r="M23" s="295"/>
      <c r="N23" s="97"/>
      <c r="O23" s="345"/>
      <c r="P23" s="97"/>
      <c r="Q23" s="81" t="str">
        <f>+Q$1</f>
        <v>BUD 2025 base</v>
      </c>
      <c r="R23" s="97"/>
      <c r="S23" s="81" t="str">
        <f>+S$1</f>
        <v>BUD 2025 Adeps B</v>
      </c>
    </row>
    <row r="24" spans="2:19" customFormat="1" ht="16.5" thickBot="1">
      <c r="B24" s="27" t="s">
        <v>62</v>
      </c>
      <c r="C24" s="134"/>
      <c r="D24" s="349"/>
      <c r="E24" s="349"/>
      <c r="F24" s="350">
        <f>SUM(F25:F27)</f>
        <v>6700</v>
      </c>
      <c r="G24" s="350">
        <f>SUM(G25:G27)</f>
        <v>5810.55</v>
      </c>
      <c r="H24" s="351">
        <f>+G24/F24</f>
        <v>0.86724626865671639</v>
      </c>
      <c r="I24" s="352"/>
      <c r="J24" s="350">
        <f>SUM(J25:J27)</f>
        <v>6700</v>
      </c>
      <c r="K24" s="352"/>
      <c r="L24" s="350">
        <f>SUM(L25:L27)</f>
        <v>5810.55</v>
      </c>
      <c r="M24" s="350"/>
      <c r="N24" s="352"/>
      <c r="O24" s="353">
        <f>SUM(O25:O27)</f>
        <v>6000</v>
      </c>
      <c r="Q24" s="37">
        <f>SUM(Q25:Q27)</f>
        <v>6700</v>
      </c>
      <c r="S24" s="37">
        <f>SUM(S25:S27)</f>
        <v>6700</v>
      </c>
    </row>
    <row r="25" spans="2:19">
      <c r="B25" s="363"/>
      <c r="C25" s="214">
        <v>703000</v>
      </c>
      <c r="D25" s="2" t="s">
        <v>258</v>
      </c>
      <c r="E25" s="2"/>
      <c r="F25" s="127">
        <v>2700</v>
      </c>
      <c r="G25" s="2">
        <f>+L25</f>
        <v>4916.17</v>
      </c>
      <c r="H25" s="143"/>
      <c r="I25" s="363"/>
      <c r="J25" s="348">
        <v>2700</v>
      </c>
      <c r="K25" s="267"/>
      <c r="L25" s="2">
        <v>4916.17</v>
      </c>
      <c r="M25" s="5"/>
      <c r="N25" s="267"/>
      <c r="O25" s="2">
        <v>5000</v>
      </c>
      <c r="P25" s="267"/>
      <c r="Q25" s="269">
        <v>2700</v>
      </c>
      <c r="R25" s="267"/>
      <c r="S25" s="269">
        <v>2700</v>
      </c>
    </row>
    <row r="26" spans="2:19">
      <c r="B26" s="363"/>
      <c r="C26" s="123">
        <v>703100</v>
      </c>
      <c r="D26" s="46" t="s">
        <v>123</v>
      </c>
      <c r="E26" s="62"/>
      <c r="F26" s="124"/>
      <c r="G26" s="1">
        <f>+L26</f>
        <v>0</v>
      </c>
      <c r="H26" s="143"/>
      <c r="I26" s="363"/>
      <c r="J26" s="269"/>
      <c r="K26" s="267"/>
      <c r="L26" s="1">
        <v>0</v>
      </c>
      <c r="M26" s="5"/>
      <c r="N26" s="267"/>
      <c r="O26" s="1">
        <v>0</v>
      </c>
      <c r="P26" s="267"/>
      <c r="Q26" s="269"/>
      <c r="R26" s="267"/>
      <c r="S26" s="269"/>
    </row>
    <row r="27" spans="2:19">
      <c r="B27" s="363"/>
      <c r="C27" s="115">
        <v>703110</v>
      </c>
      <c r="D27" s="4" t="s">
        <v>259</v>
      </c>
      <c r="E27" s="4"/>
      <c r="F27" s="116">
        <v>4000</v>
      </c>
      <c r="G27" s="4">
        <f>+L27</f>
        <v>894.38</v>
      </c>
      <c r="H27" s="143"/>
      <c r="I27" s="363"/>
      <c r="J27" s="266">
        <v>4000</v>
      </c>
      <c r="K27" s="267"/>
      <c r="L27" s="4">
        <v>894.38</v>
      </c>
      <c r="M27" s="5"/>
      <c r="N27" s="267"/>
      <c r="O27" s="4">
        <v>1000</v>
      </c>
      <c r="P27" s="267"/>
      <c r="Q27" s="266">
        <v>4000</v>
      </c>
      <c r="R27" s="267"/>
      <c r="S27" s="266">
        <v>4000</v>
      </c>
    </row>
    <row r="28" spans="2:19" ht="6.95" customHeight="1" thickBot="1">
      <c r="B28" s="363"/>
      <c r="C28" s="117"/>
      <c r="D28" s="5"/>
      <c r="E28" s="5"/>
      <c r="F28" s="118"/>
      <c r="G28" s="5"/>
      <c r="H28" s="143"/>
      <c r="I28" s="363"/>
      <c r="J28" s="118"/>
      <c r="K28" s="363"/>
      <c r="L28" s="5"/>
      <c r="M28" s="5"/>
      <c r="N28" s="363"/>
      <c r="O28" s="5"/>
      <c r="P28" s="363"/>
      <c r="Q28" s="118"/>
      <c r="R28" s="363"/>
      <c r="S28" s="118"/>
    </row>
    <row r="29" spans="2:19" customFormat="1" ht="0.95" hidden="1" customHeight="1" thickBot="1">
      <c r="C29" s="133"/>
      <c r="D29" s="31"/>
      <c r="E29" s="31"/>
      <c r="F29" s="344" t="str">
        <f>+F$1</f>
        <v>BUDGET 2024</v>
      </c>
      <c r="G29" s="145" t="str">
        <f>G$1</f>
        <v>Au 27/11/2024</v>
      </c>
      <c r="H29" s="141"/>
      <c r="J29" s="344" t="str">
        <f>+J$1</f>
        <v>BUD 2025 Adeps A</v>
      </c>
      <c r="K29" s="97"/>
      <c r="L29" s="345">
        <v>45930</v>
      </c>
      <c r="M29" s="295"/>
      <c r="N29" s="97"/>
      <c r="O29" s="345">
        <v>45930</v>
      </c>
      <c r="P29" s="97"/>
      <c r="Q29" s="81" t="str">
        <f>+Q$1</f>
        <v>BUD 2025 base</v>
      </c>
      <c r="R29" s="97"/>
      <c r="S29" s="81" t="str">
        <f>+S$1</f>
        <v>BUD 2025 Adeps B</v>
      </c>
    </row>
    <row r="30" spans="2:19" customFormat="1" ht="16.5" thickBot="1">
      <c r="B30" s="27" t="s">
        <v>64</v>
      </c>
      <c r="C30" s="134"/>
      <c r="D30" s="349"/>
      <c r="E30" s="349"/>
      <c r="F30" s="350">
        <f>SUM(F31:F38)</f>
        <v>26000</v>
      </c>
      <c r="G30" s="350">
        <f>SUM(G31:G38)</f>
        <v>71564.05</v>
      </c>
      <c r="H30" s="351">
        <f>+G30/F30</f>
        <v>2.7524634615384618</v>
      </c>
      <c r="I30" s="352"/>
      <c r="J30" s="350">
        <f>SUM(J31:J38)</f>
        <v>70500</v>
      </c>
      <c r="K30" s="352"/>
      <c r="L30" s="350">
        <f>SUM(L31:L38)</f>
        <v>71564.05</v>
      </c>
      <c r="M30" s="350"/>
      <c r="N30" s="352"/>
      <c r="O30" s="353">
        <f>SUM(O31:O38)</f>
        <v>3100</v>
      </c>
      <c r="Q30" s="37">
        <f>SUM(Q31:Q38)</f>
        <v>70500</v>
      </c>
      <c r="S30" s="37">
        <f>SUM(S31:S38)</f>
        <v>70500</v>
      </c>
    </row>
    <row r="31" spans="2:19">
      <c r="B31" s="363"/>
      <c r="C31" s="214">
        <v>704000</v>
      </c>
      <c r="D31" s="2" t="s">
        <v>260</v>
      </c>
      <c r="E31" s="2"/>
      <c r="F31" s="127">
        <v>0</v>
      </c>
      <c r="G31" s="2">
        <f t="shared" ref="G31:G38" si="0">+L31</f>
        <v>0</v>
      </c>
      <c r="H31" s="143"/>
      <c r="I31" s="267"/>
      <c r="J31" s="348">
        <v>0</v>
      </c>
      <c r="K31" s="267"/>
      <c r="L31" s="2">
        <v>0</v>
      </c>
      <c r="M31" s="5"/>
      <c r="N31" s="267"/>
      <c r="O31" s="2">
        <v>0</v>
      </c>
      <c r="P31" s="267"/>
      <c r="Q31" s="269">
        <v>0</v>
      </c>
      <c r="R31" s="267"/>
      <c r="S31" s="269">
        <v>0</v>
      </c>
    </row>
    <row r="32" spans="2:19">
      <c r="B32" s="363"/>
      <c r="C32" s="123">
        <v>704010</v>
      </c>
      <c r="D32" s="1" t="s">
        <v>261</v>
      </c>
      <c r="E32" s="1"/>
      <c r="F32" s="124"/>
      <c r="G32" s="1">
        <f t="shared" si="0"/>
        <v>1076.25</v>
      </c>
      <c r="H32" s="143"/>
      <c r="I32" s="267"/>
      <c r="J32" s="269"/>
      <c r="K32" s="267"/>
      <c r="L32" s="1">
        <v>1076.25</v>
      </c>
      <c r="M32" s="5"/>
      <c r="N32" s="267"/>
      <c r="O32" s="1"/>
      <c r="P32" s="267"/>
      <c r="Q32" s="269"/>
      <c r="R32" s="267"/>
      <c r="S32" s="269"/>
    </row>
    <row r="33" spans="2:19">
      <c r="B33" s="363"/>
      <c r="C33" s="123">
        <v>704100</v>
      </c>
      <c r="D33" s="1" t="s">
        <v>262</v>
      </c>
      <c r="E33" s="1"/>
      <c r="F33" s="124">
        <v>1000</v>
      </c>
      <c r="G33" s="1">
        <f t="shared" si="0"/>
        <v>500</v>
      </c>
      <c r="H33" s="143"/>
      <c r="I33" s="267"/>
      <c r="J33" s="269">
        <v>1000</v>
      </c>
      <c r="K33" s="267"/>
      <c r="L33" s="1">
        <v>500</v>
      </c>
      <c r="M33" s="5"/>
      <c r="N33" s="267"/>
      <c r="O33" s="1">
        <v>1200</v>
      </c>
      <c r="P33" s="267"/>
      <c r="Q33" s="269">
        <v>1000</v>
      </c>
      <c r="R33" s="267"/>
      <c r="S33" s="269">
        <v>1000</v>
      </c>
    </row>
    <row r="34" spans="2:19">
      <c r="B34" s="363"/>
      <c r="C34" s="123">
        <v>704110</v>
      </c>
      <c r="D34" s="1" t="s">
        <v>263</v>
      </c>
      <c r="E34" s="1"/>
      <c r="F34" s="124"/>
      <c r="G34" s="1">
        <f t="shared" si="0"/>
        <v>3300</v>
      </c>
      <c r="H34" s="143"/>
      <c r="I34" s="267"/>
      <c r="J34" s="269">
        <v>4500</v>
      </c>
      <c r="K34" s="267"/>
      <c r="L34" s="1">
        <v>3300</v>
      </c>
      <c r="M34" s="5"/>
      <c r="N34" s="267"/>
      <c r="O34" s="1">
        <v>1900</v>
      </c>
      <c r="P34" s="267"/>
      <c r="Q34" s="269">
        <v>4500</v>
      </c>
      <c r="R34" s="267"/>
      <c r="S34" s="269">
        <v>4500</v>
      </c>
    </row>
    <row r="35" spans="2:19">
      <c r="B35" s="363"/>
      <c r="C35" s="123">
        <v>704200</v>
      </c>
      <c r="D35" s="1" t="s">
        <v>264</v>
      </c>
      <c r="E35" s="1"/>
      <c r="F35" s="124">
        <v>0</v>
      </c>
      <c r="G35" s="1">
        <f t="shared" si="0"/>
        <v>0</v>
      </c>
      <c r="H35" s="143"/>
      <c r="I35" s="267"/>
      <c r="J35" s="269">
        <v>0</v>
      </c>
      <c r="K35" s="267"/>
      <c r="L35" s="1">
        <v>0</v>
      </c>
      <c r="M35" s="5"/>
      <c r="N35" s="267"/>
      <c r="O35" s="1">
        <v>0</v>
      </c>
      <c r="P35" s="267"/>
      <c r="Q35" s="269">
        <v>0</v>
      </c>
      <c r="R35" s="267"/>
      <c r="S35" s="269">
        <v>0</v>
      </c>
    </row>
    <row r="36" spans="2:19">
      <c r="B36" s="363"/>
      <c r="C36" s="123">
        <v>704300</v>
      </c>
      <c r="D36" s="46" t="s">
        <v>265</v>
      </c>
      <c r="E36" s="62"/>
      <c r="F36" s="124">
        <v>0</v>
      </c>
      <c r="G36" s="1">
        <f t="shared" si="0"/>
        <v>0</v>
      </c>
      <c r="H36" s="143"/>
      <c r="I36" s="267"/>
      <c r="J36" s="269">
        <v>0</v>
      </c>
      <c r="K36" s="267"/>
      <c r="L36" s="1">
        <v>0</v>
      </c>
      <c r="M36" s="5"/>
      <c r="N36" s="267"/>
      <c r="O36" s="1">
        <v>0</v>
      </c>
      <c r="P36" s="267"/>
      <c r="Q36" s="269">
        <v>0</v>
      </c>
      <c r="R36" s="267"/>
      <c r="S36" s="269">
        <v>0</v>
      </c>
    </row>
    <row r="37" spans="2:19">
      <c r="B37" s="363"/>
      <c r="C37" s="115">
        <v>704310</v>
      </c>
      <c r="D37" s="4" t="s">
        <v>266</v>
      </c>
      <c r="E37" s="4"/>
      <c r="F37" s="116">
        <v>25000</v>
      </c>
      <c r="G37" s="4">
        <f t="shared" si="0"/>
        <v>66687.8</v>
      </c>
      <c r="H37" s="143"/>
      <c r="I37" s="267"/>
      <c r="J37" s="266">
        <v>65000</v>
      </c>
      <c r="K37" s="267"/>
      <c r="L37" s="4">
        <v>66687.8</v>
      </c>
      <c r="M37" s="5"/>
      <c r="N37" s="267"/>
      <c r="O37" s="4"/>
      <c r="P37" s="267"/>
      <c r="Q37" s="266">
        <v>65000</v>
      </c>
      <c r="R37" s="267"/>
      <c r="S37" s="266">
        <v>65000</v>
      </c>
    </row>
    <row r="38" spans="2:19">
      <c r="B38" s="363"/>
      <c r="C38" s="117">
        <v>704320</v>
      </c>
      <c r="D38" s="4" t="s">
        <v>267</v>
      </c>
      <c r="E38" s="4"/>
      <c r="F38" s="116">
        <v>0</v>
      </c>
      <c r="G38" s="4">
        <f t="shared" si="0"/>
        <v>0</v>
      </c>
      <c r="H38" s="143"/>
      <c r="I38" s="267"/>
      <c r="J38" s="266">
        <v>0</v>
      </c>
      <c r="K38" s="267"/>
      <c r="L38" s="4">
        <v>0</v>
      </c>
      <c r="M38" s="5"/>
      <c r="N38" s="267"/>
      <c r="O38" s="4">
        <v>0</v>
      </c>
      <c r="P38" s="267"/>
      <c r="Q38" s="266">
        <v>0</v>
      </c>
      <c r="R38" s="267"/>
      <c r="S38" s="266">
        <v>0</v>
      </c>
    </row>
    <row r="39" spans="2:19" ht="9.9499999999999993" customHeight="1" thickBot="1">
      <c r="B39" s="363"/>
      <c r="C39" s="117"/>
      <c r="D39" s="5"/>
      <c r="E39" s="5"/>
      <c r="F39" s="118"/>
      <c r="G39" s="5"/>
      <c r="H39" s="143"/>
      <c r="I39" s="363"/>
      <c r="J39" s="118"/>
      <c r="K39" s="363"/>
      <c r="L39" s="5"/>
      <c r="M39" s="5"/>
      <c r="N39" s="363"/>
      <c r="O39" s="5"/>
      <c r="P39" s="363"/>
      <c r="Q39" s="118"/>
      <c r="R39" s="363"/>
      <c r="S39" s="118"/>
    </row>
    <row r="40" spans="2:19" customFormat="1" ht="16.5" thickBot="1">
      <c r="B40" s="27" t="s">
        <v>66</v>
      </c>
      <c r="C40" s="134"/>
      <c r="D40" s="349"/>
      <c r="E40" s="349"/>
      <c r="F40" s="350">
        <f>SUM(F41:F43)</f>
        <v>5000</v>
      </c>
      <c r="G40" s="350">
        <f>SUM(G41:G43)</f>
        <v>7500</v>
      </c>
      <c r="H40" s="351">
        <f>+G40/F40</f>
        <v>1.5</v>
      </c>
      <c r="I40" s="352"/>
      <c r="J40" s="350">
        <f>SUM(J41:J43)</f>
        <v>5000</v>
      </c>
      <c r="K40" s="352"/>
      <c r="L40" s="350">
        <f>SUM(L41:L43)</f>
        <v>7500</v>
      </c>
      <c r="M40" s="350"/>
      <c r="N40" s="352"/>
      <c r="O40" s="353">
        <f>SUM(O41:O43)</f>
        <v>12500</v>
      </c>
      <c r="Q40" s="37">
        <f>SUM(Q41:Q43)</f>
        <v>5000</v>
      </c>
      <c r="S40" s="37">
        <f>SUM(S41:S43)</f>
        <v>5000</v>
      </c>
    </row>
    <row r="41" spans="2:19">
      <c r="B41" s="363"/>
      <c r="C41" s="214">
        <v>705000</v>
      </c>
      <c r="D41" s="2" t="s">
        <v>268</v>
      </c>
      <c r="E41" s="2"/>
      <c r="F41" s="346">
        <v>5000</v>
      </c>
      <c r="G41" s="2">
        <f>+L41</f>
        <v>0</v>
      </c>
      <c r="H41" s="143"/>
      <c r="I41" s="267"/>
      <c r="J41" s="347">
        <v>5000</v>
      </c>
      <c r="K41" s="267"/>
      <c r="L41" s="2">
        <v>0</v>
      </c>
      <c r="M41" s="5"/>
      <c r="N41" s="267"/>
      <c r="O41" s="2"/>
      <c r="P41" s="267"/>
      <c r="Q41" s="270">
        <v>5000</v>
      </c>
      <c r="R41" s="267"/>
      <c r="S41" s="270">
        <v>5000</v>
      </c>
    </row>
    <row r="42" spans="2:19">
      <c r="B42" s="363"/>
      <c r="C42" s="115">
        <v>705100</v>
      </c>
      <c r="D42" s="4" t="s">
        <v>269</v>
      </c>
      <c r="E42" s="1"/>
      <c r="F42" s="125"/>
      <c r="G42" s="1"/>
      <c r="H42" s="143"/>
      <c r="I42" s="267"/>
      <c r="J42" s="270"/>
      <c r="K42" s="267"/>
      <c r="L42" s="1"/>
      <c r="M42" s="5"/>
      <c r="N42" s="267"/>
      <c r="O42" s="1">
        <v>10000</v>
      </c>
      <c r="P42" s="267"/>
      <c r="Q42" s="270"/>
      <c r="R42" s="267"/>
      <c r="S42" s="270"/>
    </row>
    <row r="43" spans="2:19">
      <c r="B43" s="363"/>
      <c r="C43" s="115">
        <v>705100</v>
      </c>
      <c r="D43" s="4" t="s">
        <v>270</v>
      </c>
      <c r="E43" s="4"/>
      <c r="F43" s="116">
        <v>0</v>
      </c>
      <c r="G43" s="4">
        <f>+L43</f>
        <v>7500</v>
      </c>
      <c r="H43" s="143"/>
      <c r="I43" s="267"/>
      <c r="J43" s="266">
        <v>0</v>
      </c>
      <c r="K43" s="267"/>
      <c r="L43" s="4">
        <v>7500</v>
      </c>
      <c r="M43" s="5"/>
      <c r="N43" s="267"/>
      <c r="O43" s="4">
        <v>2500</v>
      </c>
      <c r="P43" s="267"/>
      <c r="Q43" s="266">
        <v>0</v>
      </c>
      <c r="R43" s="267"/>
      <c r="S43" s="266">
        <v>0</v>
      </c>
    </row>
    <row r="44" spans="2:19" ht="8.1" customHeight="1" thickBot="1">
      <c r="B44" s="363"/>
      <c r="C44" s="117"/>
      <c r="D44" s="5"/>
      <c r="E44" s="5"/>
      <c r="F44" s="118"/>
      <c r="G44" s="5"/>
      <c r="H44" s="143"/>
      <c r="I44" s="363"/>
      <c r="J44" s="118"/>
      <c r="K44" s="363"/>
      <c r="L44" s="5"/>
      <c r="M44" s="5"/>
      <c r="N44" s="363"/>
      <c r="O44" s="5"/>
      <c r="P44" s="363"/>
      <c r="Q44" s="118"/>
      <c r="R44" s="363"/>
      <c r="S44" s="118"/>
    </row>
    <row r="45" spans="2:19" customFormat="1" ht="174" hidden="1" thickBot="1">
      <c r="C45" s="133"/>
      <c r="D45" s="31">
        <f>12749.3-12614.3</f>
        <v>135</v>
      </c>
      <c r="E45" s="31"/>
      <c r="F45" s="344" t="str">
        <f>+F$1</f>
        <v>BUDGET 2024</v>
      </c>
      <c r="G45" s="145" t="str">
        <f>G$1</f>
        <v>Au 27/11/2024</v>
      </c>
      <c r="H45" s="141"/>
      <c r="J45" s="344" t="str">
        <f>+J$1</f>
        <v>BUD 2025 Adeps A</v>
      </c>
      <c r="K45" s="97"/>
      <c r="L45" s="345">
        <v>45930</v>
      </c>
      <c r="M45" s="295"/>
      <c r="N45" s="97"/>
      <c r="O45" s="345">
        <v>45930</v>
      </c>
      <c r="P45" s="97"/>
      <c r="Q45" s="81" t="str">
        <f>+Q$1</f>
        <v>BUD 2025 base</v>
      </c>
      <c r="R45" s="97"/>
      <c r="S45" s="81" t="str">
        <f>+S$1</f>
        <v>BUD 2025 Adeps B</v>
      </c>
    </row>
    <row r="46" spans="2:19" customFormat="1" ht="16.5" thickBot="1">
      <c r="B46" s="27" t="s">
        <v>68</v>
      </c>
      <c r="C46" s="134"/>
      <c r="D46" s="349"/>
      <c r="E46" s="349"/>
      <c r="F46" s="350">
        <f>SUM(F47:F48)</f>
        <v>13000</v>
      </c>
      <c r="G46" s="350">
        <f>SUM(G47:G48)</f>
        <v>18110.87</v>
      </c>
      <c r="H46" s="351">
        <f>+G46/F46</f>
        <v>1.3931438461538461</v>
      </c>
      <c r="I46" s="352"/>
      <c r="J46" s="350">
        <f>SUM(J47:J48)</f>
        <v>13000</v>
      </c>
      <c r="K46" s="352"/>
      <c r="L46" s="350">
        <f>SUM(L47:L48)</f>
        <v>18110.87</v>
      </c>
      <c r="M46" s="350"/>
      <c r="N46" s="352"/>
      <c r="O46" s="353">
        <f>SUM(O47:O48)</f>
        <v>23000</v>
      </c>
      <c r="Q46" s="37">
        <f>SUM(Q47:Q48)</f>
        <v>13000</v>
      </c>
      <c r="S46" s="37">
        <f>SUM(S47:S48)</f>
        <v>13000</v>
      </c>
    </row>
    <row r="47" spans="2:19">
      <c r="B47" s="363"/>
      <c r="C47" s="214">
        <v>706200</v>
      </c>
      <c r="D47" s="2" t="s">
        <v>271</v>
      </c>
      <c r="E47" s="2"/>
      <c r="F47" s="127">
        <v>13000</v>
      </c>
      <c r="G47" s="2">
        <f t="shared" ref="G47:G48" si="1">+L47</f>
        <v>15150</v>
      </c>
      <c r="H47" s="143"/>
      <c r="I47" s="267"/>
      <c r="J47" s="348">
        <v>13000</v>
      </c>
      <c r="K47" s="267"/>
      <c r="L47" s="2">
        <v>15150</v>
      </c>
      <c r="M47" s="5"/>
      <c r="N47" s="267"/>
      <c r="O47" s="2">
        <v>20000</v>
      </c>
      <c r="P47" s="267"/>
      <c r="Q47" s="269">
        <v>13000</v>
      </c>
      <c r="R47" s="267"/>
      <c r="S47" s="269">
        <v>13000</v>
      </c>
    </row>
    <row r="48" spans="2:19">
      <c r="B48" s="363"/>
      <c r="C48" s="115">
        <v>706500</v>
      </c>
      <c r="D48" s="4" t="s">
        <v>272</v>
      </c>
      <c r="E48" s="4"/>
      <c r="F48" s="116">
        <v>0</v>
      </c>
      <c r="G48" s="4">
        <f t="shared" si="1"/>
        <v>2960.87</v>
      </c>
      <c r="H48" s="143"/>
      <c r="I48" s="267"/>
      <c r="J48" s="266">
        <v>0</v>
      </c>
      <c r="K48" s="267"/>
      <c r="L48" s="4">
        <v>2960.87</v>
      </c>
      <c r="M48" s="5"/>
      <c r="N48" s="267"/>
      <c r="O48" s="4">
        <v>3000</v>
      </c>
      <c r="P48" s="267"/>
      <c r="Q48" s="266">
        <v>0</v>
      </c>
      <c r="R48" s="267"/>
      <c r="S48" s="266">
        <v>0</v>
      </c>
    </row>
    <row r="49" spans="2:19" ht="6.95" customHeight="1" thickBot="1">
      <c r="B49" s="363"/>
      <c r="C49" s="117"/>
      <c r="D49" s="5"/>
      <c r="E49" s="5"/>
      <c r="F49" s="118"/>
      <c r="G49" s="5"/>
      <c r="H49" s="143"/>
      <c r="I49" s="363"/>
      <c r="J49" s="118"/>
      <c r="K49" s="363"/>
      <c r="L49" s="5"/>
      <c r="M49" s="5"/>
      <c r="N49" s="363"/>
      <c r="O49" s="5"/>
      <c r="P49" s="363"/>
      <c r="Q49" s="118"/>
      <c r="R49" s="363"/>
      <c r="S49" s="118"/>
    </row>
    <row r="50" spans="2:19" s="10" customFormat="1" ht="21.75" hidden="1" thickBot="1">
      <c r="B50" s="215">
        <v>70</v>
      </c>
      <c r="C50" s="212" t="s">
        <v>273</v>
      </c>
      <c r="D50" s="209"/>
      <c r="E50" s="209"/>
      <c r="F50" s="213"/>
      <c r="G50" s="209"/>
      <c r="H50" s="206"/>
      <c r="J50" s="213"/>
      <c r="L50" s="209">
        <f>+L46+L40+L30+L24+L19+L7+L2</f>
        <v>163255.47</v>
      </c>
      <c r="M50" s="209"/>
      <c r="O50" s="209">
        <f>+O46+O40+O30+O24+O19+O7+O2</f>
        <v>105600</v>
      </c>
      <c r="Q50" s="209">
        <f>+Q46+Q40+Q30+Q24+Q19+Q7+Q2</f>
        <v>172700</v>
      </c>
      <c r="S50" s="213"/>
    </row>
    <row r="51" spans="2:19" ht="21.95" hidden="1" customHeight="1" thickBot="1">
      <c r="B51" s="363"/>
      <c r="C51" s="117"/>
      <c r="D51" s="5"/>
      <c r="E51" s="5"/>
      <c r="F51" s="118"/>
      <c r="G51" s="5"/>
      <c r="H51" s="143"/>
      <c r="I51" s="363"/>
      <c r="J51" s="118"/>
      <c r="K51" s="363"/>
      <c r="L51" s="5"/>
      <c r="M51" s="5"/>
      <c r="N51" s="363"/>
      <c r="O51" s="5"/>
      <c r="P51" s="363"/>
      <c r="Q51" s="118"/>
      <c r="R51" s="363"/>
      <c r="S51" s="118"/>
    </row>
    <row r="52" spans="2:19" customFormat="1" ht="32.1" hidden="1" customHeight="1" thickBot="1">
      <c r="C52" s="133"/>
      <c r="D52" s="31"/>
      <c r="E52" s="31"/>
      <c r="F52" s="344" t="str">
        <f>+F$1</f>
        <v>BUDGET 2024</v>
      </c>
      <c r="G52" s="145" t="str">
        <f>G$1</f>
        <v>Au 27/11/2024</v>
      </c>
      <c r="H52" s="141"/>
      <c r="J52" s="344" t="str">
        <f>+J$1</f>
        <v>BUD 2025 Adeps A</v>
      </c>
      <c r="K52" s="97"/>
      <c r="L52" s="345">
        <v>45930</v>
      </c>
      <c r="M52" s="295"/>
      <c r="N52" s="97"/>
      <c r="O52" s="345">
        <v>45930</v>
      </c>
      <c r="P52" s="97"/>
      <c r="Q52" s="81" t="str">
        <f>+Q$1</f>
        <v>BUD 2025 base</v>
      </c>
      <c r="R52" s="97"/>
      <c r="S52" s="81" t="str">
        <f>+S$1</f>
        <v>BUD 2025 Adeps B</v>
      </c>
    </row>
    <row r="53" spans="2:19" customFormat="1" ht="16.5" thickBot="1">
      <c r="B53" s="27" t="s">
        <v>70</v>
      </c>
      <c r="C53" s="134"/>
      <c r="D53" s="349"/>
      <c r="E53" s="349"/>
      <c r="F53" s="350">
        <f>SUM(F54:F89)</f>
        <v>851399.56</v>
      </c>
      <c r="G53" s="350">
        <f>G54+SUM(G64:G89)</f>
        <v>625205.34</v>
      </c>
      <c r="H53" s="351">
        <f>+G53/F53</f>
        <v>0.73432659514176857</v>
      </c>
      <c r="I53" s="352"/>
      <c r="J53" s="350">
        <f>SUM(J54:J78)</f>
        <v>992000</v>
      </c>
      <c r="K53" s="352"/>
      <c r="L53" s="350">
        <f>+L54+L64+SUM(L65:L78)</f>
        <v>614613.23</v>
      </c>
      <c r="M53" s="350"/>
      <c r="N53" s="352"/>
      <c r="O53" s="354">
        <f>+O54+O64+SUM(O65:O78)</f>
        <v>1296200</v>
      </c>
      <c r="Q53" s="38">
        <f>SUM(Q54:Q78)</f>
        <v>992000</v>
      </c>
      <c r="S53" s="38">
        <f>SUM(S54:S89)</f>
        <v>1004260</v>
      </c>
    </row>
    <row r="54" spans="2:19">
      <c r="B54" s="363"/>
      <c r="C54" s="121">
        <v>730000</v>
      </c>
      <c r="D54" s="3" t="s">
        <v>274</v>
      </c>
      <c r="E54" s="3"/>
      <c r="F54" s="122">
        <v>17000</v>
      </c>
      <c r="G54" s="3">
        <f>+L54</f>
        <v>17000</v>
      </c>
      <c r="H54" s="47"/>
      <c r="I54" s="267"/>
      <c r="J54" s="268">
        <v>17000</v>
      </c>
      <c r="K54" s="267"/>
      <c r="L54" s="3">
        <v>17000</v>
      </c>
      <c r="M54" s="5"/>
      <c r="N54" s="267"/>
      <c r="O54" s="3">
        <v>17000</v>
      </c>
      <c r="P54" s="267"/>
      <c r="Q54" s="268">
        <v>17000</v>
      </c>
      <c r="R54" s="267"/>
      <c r="S54" s="268">
        <v>17000</v>
      </c>
    </row>
    <row r="55" spans="2:19">
      <c r="B55" s="363"/>
      <c r="C55" s="393">
        <v>731010</v>
      </c>
      <c r="D55" s="394" t="s">
        <v>275</v>
      </c>
      <c r="E55" s="395"/>
      <c r="F55" s="395"/>
      <c r="G55" s="392"/>
      <c r="H55" s="396"/>
      <c r="I55" s="267"/>
      <c r="J55" s="264"/>
      <c r="K55" s="267"/>
      <c r="L55" s="392">
        <v>9865</v>
      </c>
      <c r="M55" s="366"/>
      <c r="N55" s="267">
        <v>5700</v>
      </c>
      <c r="O55" s="392">
        <f>N55*48</f>
        <v>273600</v>
      </c>
      <c r="P55" s="267"/>
      <c r="Q55" s="264"/>
      <c r="R55" s="267"/>
      <c r="S55" s="264"/>
    </row>
    <row r="56" spans="2:19">
      <c r="B56" s="363"/>
      <c r="C56" s="393">
        <v>731011</v>
      </c>
      <c r="D56" s="394" t="s">
        <v>276</v>
      </c>
      <c r="E56" s="395"/>
      <c r="F56" s="395"/>
      <c r="G56" s="392"/>
      <c r="H56" s="396"/>
      <c r="I56" s="267"/>
      <c r="J56" s="264"/>
      <c r="K56" s="267"/>
      <c r="L56" s="392">
        <v>14619</v>
      </c>
      <c r="M56" s="366"/>
      <c r="N56" s="267">
        <v>6500</v>
      </c>
      <c r="O56" s="392">
        <f>N56*34</f>
        <v>221000</v>
      </c>
      <c r="P56" s="267"/>
      <c r="Q56" s="264"/>
      <c r="R56" s="267"/>
      <c r="S56" s="264"/>
    </row>
    <row r="57" spans="2:19">
      <c r="B57" s="363"/>
      <c r="C57" s="393">
        <v>731012</v>
      </c>
      <c r="D57" s="394" t="s">
        <v>277</v>
      </c>
      <c r="E57" s="395"/>
      <c r="F57" s="395"/>
      <c r="G57" s="392"/>
      <c r="H57" s="396"/>
      <c r="I57" s="267"/>
      <c r="J57" s="264"/>
      <c r="K57" s="267"/>
      <c r="L57" s="392">
        <v>1065</v>
      </c>
      <c r="M57" s="366"/>
      <c r="N57" s="267">
        <v>600</v>
      </c>
      <c r="O57" s="392">
        <f>N57*16</f>
        <v>9600</v>
      </c>
      <c r="P57" s="267"/>
      <c r="Q57" s="264"/>
      <c r="R57" s="267"/>
      <c r="S57" s="264"/>
    </row>
    <row r="58" spans="2:19">
      <c r="B58" s="363"/>
      <c r="C58" s="393">
        <v>731013</v>
      </c>
      <c r="D58" s="394" t="s">
        <v>278</v>
      </c>
      <c r="E58" s="395"/>
      <c r="F58" s="395"/>
      <c r="G58" s="392"/>
      <c r="H58" s="396"/>
      <c r="I58" s="267"/>
      <c r="J58" s="264"/>
      <c r="K58" s="267"/>
      <c r="L58" s="392">
        <v>600</v>
      </c>
      <c r="M58" s="366"/>
      <c r="N58" s="267">
        <v>360</v>
      </c>
      <c r="O58" s="392">
        <f>(N58*11)-60</f>
        <v>3900</v>
      </c>
      <c r="P58" s="267"/>
      <c r="Q58" s="264"/>
      <c r="R58" s="267"/>
      <c r="S58" s="264"/>
    </row>
    <row r="59" spans="2:19">
      <c r="B59" s="363"/>
      <c r="C59" s="393">
        <v>731014</v>
      </c>
      <c r="D59" s="394" t="s">
        <v>279</v>
      </c>
      <c r="E59" s="395"/>
      <c r="F59" s="395"/>
      <c r="G59" s="392"/>
      <c r="H59" s="396"/>
      <c r="I59" s="267"/>
      <c r="J59" s="264"/>
      <c r="K59" s="267"/>
      <c r="L59" s="392">
        <v>1518</v>
      </c>
      <c r="M59" s="366"/>
      <c r="N59" s="267">
        <v>1400</v>
      </c>
      <c r="O59" s="392">
        <f>N59*24</f>
        <v>33600</v>
      </c>
      <c r="P59" s="267"/>
      <c r="Q59" s="264"/>
      <c r="R59" s="267"/>
      <c r="S59" s="264"/>
    </row>
    <row r="60" spans="2:19">
      <c r="B60" s="363"/>
      <c r="C60" s="393">
        <v>731015</v>
      </c>
      <c r="D60" s="394" t="s">
        <v>280</v>
      </c>
      <c r="E60" s="395"/>
      <c r="F60" s="395"/>
      <c r="G60" s="392"/>
      <c r="H60" s="396"/>
      <c r="I60" s="267"/>
      <c r="J60" s="264"/>
      <c r="K60" s="267"/>
      <c r="L60" s="392">
        <v>4115</v>
      </c>
      <c r="M60" s="366"/>
      <c r="N60" s="267">
        <v>1800</v>
      </c>
      <c r="O60" s="392">
        <f>N60*24</f>
        <v>43200</v>
      </c>
      <c r="P60" s="267"/>
      <c r="Q60" s="264"/>
      <c r="R60" s="267"/>
      <c r="S60" s="264"/>
    </row>
    <row r="61" spans="2:19">
      <c r="B61" s="363"/>
      <c r="C61" s="393">
        <v>731016</v>
      </c>
      <c r="D61" s="394" t="s">
        <v>281</v>
      </c>
      <c r="E61" s="395"/>
      <c r="F61" s="395"/>
      <c r="G61" s="392"/>
      <c r="H61" s="396"/>
      <c r="I61" s="267"/>
      <c r="J61" s="264"/>
      <c r="K61" s="267"/>
      <c r="L61" s="392">
        <v>0</v>
      </c>
      <c r="M61" s="366"/>
      <c r="N61" s="267"/>
      <c r="O61" s="392"/>
      <c r="P61" s="267"/>
      <c r="Q61" s="264"/>
      <c r="R61" s="267"/>
      <c r="S61" s="264"/>
    </row>
    <row r="62" spans="2:19">
      <c r="B62" s="363"/>
      <c r="C62" s="393">
        <v>731017</v>
      </c>
      <c r="D62" s="394" t="s">
        <v>282</v>
      </c>
      <c r="E62" s="395"/>
      <c r="F62" s="395"/>
      <c r="G62" s="392"/>
      <c r="H62" s="396"/>
      <c r="I62" s="267"/>
      <c r="J62" s="264"/>
      <c r="K62" s="267"/>
      <c r="L62" s="392">
        <v>80</v>
      </c>
      <c r="M62" s="366"/>
      <c r="N62" s="267">
        <v>10</v>
      </c>
      <c r="O62" s="392">
        <f>(N62*11)-10</f>
        <v>100</v>
      </c>
      <c r="P62" s="267"/>
      <c r="Q62" s="264"/>
      <c r="R62" s="267"/>
      <c r="S62" s="264"/>
    </row>
    <row r="63" spans="2:19">
      <c r="B63" s="363"/>
      <c r="C63" s="393">
        <v>731018</v>
      </c>
      <c r="D63" s="394" t="s">
        <v>283</v>
      </c>
      <c r="E63" s="395"/>
      <c r="F63" s="395"/>
      <c r="G63" s="392"/>
      <c r="H63" s="396"/>
      <c r="I63" s="267"/>
      <c r="J63" s="264"/>
      <c r="K63" s="267"/>
      <c r="L63" s="392"/>
      <c r="M63" s="366"/>
      <c r="N63" s="267"/>
      <c r="O63" s="392"/>
      <c r="P63" s="267"/>
      <c r="Q63" s="264"/>
      <c r="R63" s="267"/>
      <c r="S63" s="264"/>
    </row>
    <row r="64" spans="2:19">
      <c r="B64" s="363"/>
      <c r="C64" s="126" t="s">
        <v>284</v>
      </c>
      <c r="D64" s="3" t="s">
        <v>285</v>
      </c>
      <c r="E64" s="3"/>
      <c r="F64" s="52">
        <v>575000</v>
      </c>
      <c r="G64" s="3">
        <f t="shared" ref="G64:G71" si="2">+L64</f>
        <v>31862</v>
      </c>
      <c r="H64" s="47"/>
      <c r="I64" s="267"/>
      <c r="J64" s="3">
        <v>575000</v>
      </c>
      <c r="K64" s="267"/>
      <c r="L64" s="3">
        <f>SUM(L55:L63)</f>
        <v>31862</v>
      </c>
      <c r="M64" s="5"/>
      <c r="N64" s="267"/>
      <c r="O64" s="3">
        <f>SUM(O55:O62)</f>
        <v>585000</v>
      </c>
      <c r="P64" s="267"/>
      <c r="Q64" s="3">
        <v>575000</v>
      </c>
      <c r="R64" s="267"/>
      <c r="S64" s="3">
        <v>575000</v>
      </c>
    </row>
    <row r="65" spans="2:22">
      <c r="B65" s="363"/>
      <c r="C65" s="123">
        <v>731010</v>
      </c>
      <c r="D65" s="1" t="s">
        <v>286</v>
      </c>
      <c r="E65" s="2"/>
      <c r="F65" s="127"/>
      <c r="G65" s="2">
        <f t="shared" si="2"/>
        <v>270000</v>
      </c>
      <c r="H65" s="47"/>
      <c r="I65" s="363"/>
      <c r="J65" s="127"/>
      <c r="K65" s="363"/>
      <c r="L65" s="1">
        <v>270000</v>
      </c>
      <c r="M65" s="5"/>
      <c r="N65" s="363"/>
      <c r="O65" s="1"/>
      <c r="P65" s="363"/>
      <c r="Q65" s="127"/>
      <c r="R65" s="363"/>
      <c r="S65" s="127"/>
      <c r="T65" s="363"/>
      <c r="U65" s="363"/>
      <c r="V65" s="363"/>
    </row>
    <row r="66" spans="2:22">
      <c r="B66" s="363"/>
      <c r="C66" s="123">
        <v>737000</v>
      </c>
      <c r="D66" s="1" t="s">
        <v>287</v>
      </c>
      <c r="E66" s="1"/>
      <c r="F66" s="169">
        <v>204022.31</v>
      </c>
      <c r="G66" s="1">
        <f t="shared" si="2"/>
        <v>152000</v>
      </c>
      <c r="H66" s="47"/>
      <c r="I66" s="363"/>
      <c r="J66" s="309">
        <v>195000</v>
      </c>
      <c r="K66" s="267"/>
      <c r="L66" s="1">
        <v>152000</v>
      </c>
      <c r="M66" s="5"/>
      <c r="N66" s="267"/>
      <c r="O66" s="1">
        <v>191000</v>
      </c>
      <c r="P66" s="267"/>
      <c r="Q66" s="309">
        <v>195000</v>
      </c>
      <c r="R66" s="267"/>
      <c r="S66" s="309">
        <v>195000</v>
      </c>
      <c r="T66" s="363"/>
      <c r="U66" s="363"/>
      <c r="V66" s="363"/>
    </row>
    <row r="67" spans="2:22">
      <c r="B67" s="363"/>
      <c r="C67" s="123">
        <v>737200</v>
      </c>
      <c r="D67" s="62" t="s">
        <v>288</v>
      </c>
      <c r="E67" s="77"/>
      <c r="F67" s="417"/>
      <c r="G67" s="1">
        <f t="shared" si="2"/>
        <v>122400</v>
      </c>
      <c r="H67" s="47"/>
      <c r="I67" s="363"/>
      <c r="J67" s="418"/>
      <c r="K67" s="267"/>
      <c r="L67" s="1">
        <v>122400</v>
      </c>
      <c r="M67" s="5"/>
      <c r="N67" s="267"/>
      <c r="O67" s="1">
        <v>205000</v>
      </c>
      <c r="P67" s="267"/>
      <c r="Q67" s="418"/>
      <c r="R67" s="267"/>
      <c r="S67" s="418"/>
      <c r="T67" s="363"/>
      <c r="U67" s="363"/>
      <c r="V67" s="363"/>
    </row>
    <row r="68" spans="2:22">
      <c r="B68" s="363"/>
      <c r="C68" s="123">
        <v>737210</v>
      </c>
      <c r="D68" s="46" t="s">
        <v>289</v>
      </c>
      <c r="E68" s="77"/>
      <c r="F68" s="417"/>
      <c r="G68" s="1">
        <f t="shared" si="2"/>
        <v>20000</v>
      </c>
      <c r="H68" s="47"/>
      <c r="I68" s="363"/>
      <c r="J68" s="418"/>
      <c r="K68" s="267"/>
      <c r="L68" s="1">
        <v>20000</v>
      </c>
      <c r="M68" s="5"/>
      <c r="N68" s="267"/>
      <c r="O68" s="1">
        <v>40000</v>
      </c>
      <c r="P68" s="267"/>
      <c r="Q68" s="418"/>
      <c r="R68" s="267"/>
      <c r="S68" s="418"/>
      <c r="T68" s="363"/>
      <c r="U68" s="363"/>
      <c r="V68" s="363"/>
    </row>
    <row r="69" spans="2:22">
      <c r="B69" s="363"/>
      <c r="C69" s="123">
        <v>737300</v>
      </c>
      <c r="D69" s="1" t="s">
        <v>290</v>
      </c>
      <c r="E69" s="1"/>
      <c r="F69" s="169">
        <v>31747.25</v>
      </c>
      <c r="G69" s="1">
        <f t="shared" si="2"/>
        <v>1351.23</v>
      </c>
      <c r="H69" s="47"/>
      <c r="I69" s="363"/>
      <c r="J69" s="309">
        <v>50000</v>
      </c>
      <c r="K69" s="267"/>
      <c r="L69" s="1">
        <v>1351.23</v>
      </c>
      <c r="M69" s="5"/>
      <c r="N69" s="267"/>
      <c r="O69" s="1">
        <v>85000</v>
      </c>
      <c r="P69" s="267"/>
      <c r="Q69" s="308">
        <v>50000</v>
      </c>
      <c r="R69" s="267"/>
      <c r="S69" s="309">
        <v>50000</v>
      </c>
      <c r="T69" s="363"/>
      <c r="U69" s="363"/>
      <c r="V69" s="363"/>
    </row>
    <row r="70" spans="2:22">
      <c r="B70" s="363"/>
      <c r="C70" s="123">
        <v>737700</v>
      </c>
      <c r="D70" s="1" t="s">
        <v>291</v>
      </c>
      <c r="E70" s="1"/>
      <c r="F70" s="129"/>
      <c r="G70" s="62">
        <f t="shared" si="2"/>
        <v>0</v>
      </c>
      <c r="H70" s="130"/>
      <c r="I70" s="363"/>
      <c r="J70" s="271">
        <v>17500</v>
      </c>
      <c r="K70" s="267"/>
      <c r="L70" s="1">
        <v>0</v>
      </c>
      <c r="M70" s="5"/>
      <c r="N70" s="267"/>
      <c r="O70" s="1">
        <v>14000</v>
      </c>
      <c r="P70" s="267"/>
      <c r="Q70" s="271">
        <v>17500</v>
      </c>
      <c r="R70" s="267"/>
      <c r="S70" s="271">
        <v>17500</v>
      </c>
      <c r="T70" s="363"/>
      <c r="U70" s="363"/>
      <c r="V70" s="363"/>
    </row>
    <row r="71" spans="2:22">
      <c r="B71" s="363"/>
      <c r="C71" s="123">
        <v>737700</v>
      </c>
      <c r="D71" s="1" t="s">
        <v>292</v>
      </c>
      <c r="E71" s="1"/>
      <c r="F71" s="129"/>
      <c r="G71" s="62">
        <f t="shared" si="2"/>
        <v>0</v>
      </c>
      <c r="H71" s="130"/>
      <c r="I71" s="363"/>
      <c r="J71" s="271">
        <v>30000</v>
      </c>
      <c r="K71" s="267"/>
      <c r="L71" s="1">
        <v>0</v>
      </c>
      <c r="M71" s="5"/>
      <c r="N71" s="267"/>
      <c r="O71" s="1">
        <v>30000</v>
      </c>
      <c r="P71" s="267"/>
      <c r="Q71" s="271">
        <v>30000</v>
      </c>
      <c r="R71" s="267"/>
      <c r="S71" s="271">
        <v>30000</v>
      </c>
      <c r="T71" s="363"/>
      <c r="U71" s="363"/>
      <c r="V71" s="363"/>
    </row>
    <row r="72" spans="2:22">
      <c r="B72" s="363"/>
      <c r="C72" s="123">
        <v>737700</v>
      </c>
      <c r="D72" s="1" t="s">
        <v>293</v>
      </c>
      <c r="E72" s="1"/>
      <c r="F72" s="129"/>
      <c r="G72" s="62"/>
      <c r="H72" s="130"/>
      <c r="I72" s="363"/>
      <c r="J72" s="271">
        <v>40000</v>
      </c>
      <c r="K72" s="267"/>
      <c r="L72" s="1"/>
      <c r="M72" s="5"/>
      <c r="N72" s="267"/>
      <c r="O72" s="1">
        <v>40000</v>
      </c>
      <c r="P72" s="267"/>
      <c r="Q72" s="271">
        <v>40000</v>
      </c>
      <c r="R72" s="267"/>
      <c r="S72" s="271">
        <v>40000</v>
      </c>
      <c r="T72" s="363"/>
      <c r="U72" s="363"/>
      <c r="V72" s="363"/>
    </row>
    <row r="73" spans="2:22">
      <c r="B73" s="363"/>
      <c r="C73" s="123">
        <v>738000</v>
      </c>
      <c r="D73" s="1" t="s">
        <v>294</v>
      </c>
      <c r="E73" s="1"/>
      <c r="F73" s="129">
        <v>0</v>
      </c>
      <c r="G73" s="1">
        <f t="shared" ref="G73:G76" si="3">+L73</f>
        <v>0</v>
      </c>
      <c r="H73" s="47"/>
      <c r="I73" s="363"/>
      <c r="J73" s="271">
        <v>30000</v>
      </c>
      <c r="K73" s="267"/>
      <c r="L73" s="1">
        <v>0</v>
      </c>
      <c r="M73" s="5"/>
      <c r="N73" s="267"/>
      <c r="O73" s="1">
        <v>37700</v>
      </c>
      <c r="P73" s="267"/>
      <c r="Q73" s="271">
        <v>30000</v>
      </c>
      <c r="R73" s="267"/>
      <c r="S73" s="271">
        <v>30000</v>
      </c>
      <c r="T73" s="363"/>
      <c r="U73" s="363"/>
      <c r="V73" s="363"/>
    </row>
    <row r="74" spans="2:22">
      <c r="B74" s="363"/>
      <c r="C74" s="123">
        <v>739000</v>
      </c>
      <c r="D74" s="1"/>
      <c r="E74" s="1"/>
      <c r="F74" s="129">
        <v>0</v>
      </c>
      <c r="G74" s="1">
        <f t="shared" si="3"/>
        <v>0</v>
      </c>
      <c r="H74" s="47"/>
      <c r="I74" s="363"/>
      <c r="J74" s="271">
        <v>0</v>
      </c>
      <c r="K74" s="267"/>
      <c r="L74" s="1">
        <v>0</v>
      </c>
      <c r="M74" s="5"/>
      <c r="N74" s="267"/>
      <c r="O74" s="1">
        <v>0</v>
      </c>
      <c r="P74" s="267"/>
      <c r="Q74" s="271">
        <v>0</v>
      </c>
      <c r="R74" s="267"/>
      <c r="S74" s="271">
        <v>0</v>
      </c>
      <c r="T74" s="363"/>
      <c r="U74" s="363"/>
      <c r="V74" s="363"/>
    </row>
    <row r="75" spans="2:22">
      <c r="B75" s="363"/>
      <c r="C75" s="123">
        <v>739100</v>
      </c>
      <c r="D75" s="1" t="s">
        <v>295</v>
      </c>
      <c r="E75" s="1"/>
      <c r="F75" s="129">
        <v>0</v>
      </c>
      <c r="G75" s="1">
        <f t="shared" si="3"/>
        <v>0</v>
      </c>
      <c r="H75" s="47"/>
      <c r="I75" s="363"/>
      <c r="J75" s="271">
        <v>0</v>
      </c>
      <c r="K75" s="267"/>
      <c r="L75" s="1">
        <v>0</v>
      </c>
      <c r="M75" s="5"/>
      <c r="N75" s="267"/>
      <c r="O75" s="1">
        <v>5000</v>
      </c>
      <c r="P75" s="267"/>
      <c r="Q75" s="271">
        <v>0</v>
      </c>
      <c r="R75" s="267"/>
      <c r="S75" s="271">
        <v>0</v>
      </c>
      <c r="T75" s="363"/>
      <c r="U75" s="363"/>
      <c r="V75" s="363"/>
    </row>
    <row r="76" spans="2:22">
      <c r="B76" s="363"/>
      <c r="C76" s="123">
        <v>739400</v>
      </c>
      <c r="D76" s="1" t="s">
        <v>296</v>
      </c>
      <c r="E76" s="1"/>
      <c r="F76" s="129">
        <v>17500</v>
      </c>
      <c r="G76" s="1">
        <f t="shared" si="3"/>
        <v>0</v>
      </c>
      <c r="H76" s="47"/>
      <c r="I76" s="363"/>
      <c r="J76" s="271">
        <v>17500</v>
      </c>
      <c r="K76" s="267"/>
      <c r="L76" s="1">
        <v>0</v>
      </c>
      <c r="M76" s="5"/>
      <c r="N76" s="267"/>
      <c r="O76" s="1">
        <v>16500</v>
      </c>
      <c r="P76" s="267"/>
      <c r="Q76" s="271">
        <v>17500</v>
      </c>
      <c r="R76" s="267"/>
      <c r="S76" s="271">
        <v>17500</v>
      </c>
      <c r="T76" s="363"/>
      <c r="U76" s="363"/>
      <c r="V76" s="363" t="s">
        <v>297</v>
      </c>
    </row>
    <row r="77" spans="2:22">
      <c r="B77" s="363"/>
      <c r="C77" s="123">
        <v>739400</v>
      </c>
      <c r="D77" s="1" t="s">
        <v>298</v>
      </c>
      <c r="E77" s="1"/>
      <c r="F77" s="169"/>
      <c r="G77" s="1"/>
      <c r="H77" s="47"/>
      <c r="I77" s="363"/>
      <c r="J77" s="309">
        <v>20000</v>
      </c>
      <c r="K77" s="267"/>
      <c r="L77" s="1"/>
      <c r="M77" s="5"/>
      <c r="N77" s="267"/>
      <c r="O77" s="1">
        <v>30000</v>
      </c>
      <c r="P77" s="267"/>
      <c r="Q77" s="271">
        <v>20000</v>
      </c>
      <c r="R77" s="267"/>
      <c r="S77" s="271">
        <v>20000</v>
      </c>
      <c r="T77" s="363"/>
      <c r="U77" s="363"/>
      <c r="V77" s="363"/>
    </row>
    <row r="78" spans="2:22">
      <c r="B78" s="363"/>
      <c r="C78" s="115">
        <v>739600</v>
      </c>
      <c r="D78" s="4" t="s">
        <v>299</v>
      </c>
      <c r="E78" s="4"/>
      <c r="F78" s="129">
        <v>0</v>
      </c>
      <c r="G78" s="4">
        <f>+L78</f>
        <v>0</v>
      </c>
      <c r="H78" s="360"/>
      <c r="I78" s="397"/>
      <c r="J78" s="271">
        <v>0</v>
      </c>
      <c r="K78" s="361"/>
      <c r="L78" s="4">
        <v>0</v>
      </c>
      <c r="M78" s="362"/>
      <c r="N78" s="361"/>
      <c r="O78" s="4">
        <v>0</v>
      </c>
      <c r="P78" s="267"/>
      <c r="Q78" s="271">
        <v>0</v>
      </c>
      <c r="R78" s="267"/>
      <c r="S78" s="271">
        <v>0</v>
      </c>
      <c r="T78" s="363"/>
      <c r="U78" s="363"/>
      <c r="V78" s="363"/>
    </row>
    <row r="79" spans="2:22" ht="21" hidden="1">
      <c r="B79" s="216">
        <v>73</v>
      </c>
      <c r="C79" s="212" t="s">
        <v>300</v>
      </c>
      <c r="D79" s="209"/>
      <c r="E79" s="209"/>
      <c r="F79" s="131"/>
      <c r="G79" s="5"/>
      <c r="H79" s="47"/>
      <c r="I79" s="363"/>
      <c r="J79" s="131"/>
      <c r="K79" s="363"/>
      <c r="L79" s="209">
        <f>+L54+L64+SUM(L65:L78)</f>
        <v>614613.23</v>
      </c>
      <c r="M79" s="209"/>
      <c r="N79" s="363"/>
      <c r="O79" s="209">
        <f>+O54+O64+SUM(O65:O78)</f>
        <v>1296200</v>
      </c>
      <c r="P79" s="363"/>
      <c r="Q79" s="209">
        <f>+Q54+Q64+SUM(Q65:Q78)</f>
        <v>992000</v>
      </c>
      <c r="R79" s="363"/>
      <c r="S79" s="131"/>
      <c r="T79" s="363"/>
      <c r="U79" s="363"/>
      <c r="V79" s="363"/>
    </row>
    <row r="80" spans="2:22" ht="12.95" customHeight="1" thickBot="1">
      <c r="B80" s="363"/>
      <c r="C80" s="117"/>
      <c r="D80" s="5"/>
      <c r="E80" s="5"/>
      <c r="F80" s="131"/>
      <c r="G80" s="5"/>
      <c r="H80" s="47"/>
      <c r="I80" s="363"/>
      <c r="J80" s="131"/>
      <c r="K80" s="363"/>
      <c r="L80" s="5"/>
      <c r="M80" s="5"/>
      <c r="N80" s="363"/>
      <c r="O80" s="5"/>
      <c r="P80" s="363"/>
      <c r="Q80" s="131"/>
      <c r="R80" s="363"/>
      <c r="S80" s="131"/>
      <c r="T80" s="363"/>
      <c r="U80" s="363"/>
      <c r="V80" s="363"/>
    </row>
    <row r="81" spans="2:19" ht="21" customHeight="1" thickBot="1">
      <c r="B81" s="27" t="s">
        <v>72</v>
      </c>
      <c r="C81" s="134"/>
      <c r="D81" s="135"/>
      <c r="E81" s="31"/>
      <c r="F81" s="131"/>
      <c r="G81" s="5"/>
      <c r="H81" s="47"/>
      <c r="I81"/>
      <c r="J81" s="81" t="str">
        <f>+J$1</f>
        <v>BUD 2025 Adeps A</v>
      </c>
      <c r="K81" s="97"/>
      <c r="L81" s="165" t="str">
        <f>+L1</f>
        <v>YTD 2025</v>
      </c>
      <c r="M81" s="295"/>
      <c r="N81" s="97"/>
      <c r="O81" s="165" t="str">
        <f>+O1</f>
        <v>BUD 2026</v>
      </c>
      <c r="P81" s="97"/>
      <c r="Q81" s="81" t="str">
        <f>+Q$1</f>
        <v>BUD 2025 base</v>
      </c>
      <c r="R81" s="97"/>
      <c r="S81" s="81" t="str">
        <f>+S$1</f>
        <v>BUD 2025 Adeps B</v>
      </c>
    </row>
    <row r="82" spans="2:19" ht="15.75">
      <c r="B82" s="159"/>
      <c r="C82" s="133"/>
      <c r="D82" s="31"/>
      <c r="E82" s="31"/>
      <c r="F82" s="131"/>
      <c r="G82" s="5"/>
      <c r="H82" s="47"/>
      <c r="I82"/>
      <c r="J82" s="37">
        <f>SUM(J83:J97)</f>
        <v>6130</v>
      </c>
      <c r="K82"/>
      <c r="L82" s="37">
        <f>SUM(L83:L89)</f>
        <v>10592.11</v>
      </c>
      <c r="M82" s="296"/>
      <c r="N82"/>
      <c r="O82" s="332">
        <f>SUM(O83:O89)</f>
        <v>2000</v>
      </c>
      <c r="P82"/>
      <c r="Q82" s="37">
        <f>SUM(Q83:Q97)</f>
        <v>6130</v>
      </c>
      <c r="R82"/>
      <c r="S82" s="37">
        <f>SUM(S83:S97)</f>
        <v>6130</v>
      </c>
    </row>
    <row r="83" spans="2:19">
      <c r="B83" s="363"/>
      <c r="C83" s="214">
        <v>741000</v>
      </c>
      <c r="D83" s="2" t="s">
        <v>301</v>
      </c>
      <c r="E83" s="2"/>
      <c r="F83" s="170">
        <v>0</v>
      </c>
      <c r="G83" s="2">
        <f t="shared" ref="G83:G89" si="4">+L83</f>
        <v>0</v>
      </c>
      <c r="H83" s="47"/>
      <c r="I83" s="267"/>
      <c r="J83" s="263">
        <v>0</v>
      </c>
      <c r="K83" s="267"/>
      <c r="L83" s="2">
        <v>0</v>
      </c>
      <c r="M83" s="5"/>
      <c r="N83" s="267"/>
      <c r="O83" s="2">
        <v>0</v>
      </c>
      <c r="P83" s="267"/>
      <c r="Q83" s="263">
        <v>0</v>
      </c>
      <c r="R83" s="267"/>
      <c r="S83" s="263">
        <v>0</v>
      </c>
    </row>
    <row r="84" spans="2:19">
      <c r="B84" s="363"/>
      <c r="C84" s="123">
        <v>746000</v>
      </c>
      <c r="D84" s="1" t="s">
        <v>302</v>
      </c>
      <c r="E84" s="1"/>
      <c r="F84" s="124">
        <v>6130</v>
      </c>
      <c r="G84" s="1">
        <f t="shared" si="4"/>
        <v>6211.84</v>
      </c>
      <c r="H84" s="47"/>
      <c r="I84" s="267"/>
      <c r="J84" s="269">
        <v>6130</v>
      </c>
      <c r="K84" s="267"/>
      <c r="L84" s="1">
        <v>6211.84</v>
      </c>
      <c r="M84" s="5"/>
      <c r="N84" s="267"/>
      <c r="O84" s="1">
        <v>2000</v>
      </c>
      <c r="P84" s="267"/>
      <c r="Q84" s="269">
        <v>6130</v>
      </c>
      <c r="R84" s="267"/>
      <c r="S84" s="269">
        <v>6130</v>
      </c>
    </row>
    <row r="85" spans="2:19">
      <c r="B85" s="363"/>
      <c r="C85" s="123">
        <v>747000</v>
      </c>
      <c r="D85" s="1" t="s">
        <v>303</v>
      </c>
      <c r="E85" s="1"/>
      <c r="F85" s="124"/>
      <c r="G85" s="1">
        <f t="shared" si="4"/>
        <v>0</v>
      </c>
      <c r="H85" s="47"/>
      <c r="I85" s="267"/>
      <c r="J85" s="269"/>
      <c r="K85" s="267"/>
      <c r="L85" s="1"/>
      <c r="M85" s="5"/>
      <c r="N85" s="267"/>
      <c r="O85" s="1"/>
      <c r="P85" s="267"/>
      <c r="Q85" s="269"/>
      <c r="R85" s="267"/>
      <c r="S85" s="269"/>
    </row>
    <row r="86" spans="2:19">
      <c r="B86" s="363"/>
      <c r="C86" s="123">
        <v>747001</v>
      </c>
      <c r="D86" s="1" t="s">
        <v>303</v>
      </c>
      <c r="E86" s="1"/>
      <c r="F86" s="124">
        <v>0</v>
      </c>
      <c r="G86" s="1">
        <f t="shared" si="4"/>
        <v>0</v>
      </c>
      <c r="H86" s="47"/>
      <c r="I86" s="267"/>
      <c r="J86" s="269">
        <v>0</v>
      </c>
      <c r="K86" s="267"/>
      <c r="L86" s="1">
        <v>0</v>
      </c>
      <c r="M86" s="5"/>
      <c r="N86" s="267"/>
      <c r="O86" s="1">
        <v>0</v>
      </c>
      <c r="P86" s="267"/>
      <c r="Q86" s="269">
        <v>0</v>
      </c>
      <c r="R86" s="267"/>
      <c r="S86" s="269">
        <v>0</v>
      </c>
    </row>
    <row r="87" spans="2:19">
      <c r="B87" s="363"/>
      <c r="C87" s="123">
        <v>748200</v>
      </c>
      <c r="D87" s="1" t="s">
        <v>304</v>
      </c>
      <c r="E87" s="1"/>
      <c r="F87" s="124"/>
      <c r="G87" s="1">
        <f t="shared" si="4"/>
        <v>3779.51</v>
      </c>
      <c r="H87" s="47"/>
      <c r="I87" s="267"/>
      <c r="J87" s="269"/>
      <c r="K87" s="267"/>
      <c r="L87" s="107">
        <v>3779.51</v>
      </c>
      <c r="M87" s="5"/>
      <c r="N87" s="267"/>
      <c r="O87" s="107"/>
      <c r="P87" s="267"/>
      <c r="Q87" s="269"/>
      <c r="R87" s="267"/>
      <c r="S87" s="269"/>
    </row>
    <row r="88" spans="2:19">
      <c r="B88" s="363"/>
      <c r="C88" s="123">
        <v>749020</v>
      </c>
      <c r="D88" s="1" t="s">
        <v>305</v>
      </c>
      <c r="E88" s="1"/>
      <c r="F88" s="116">
        <v>0</v>
      </c>
      <c r="G88" s="1">
        <f t="shared" si="4"/>
        <v>600.76</v>
      </c>
      <c r="H88" s="47"/>
      <c r="I88" s="267"/>
      <c r="J88" s="266">
        <v>0</v>
      </c>
      <c r="K88" s="267"/>
      <c r="L88" s="107">
        <v>600.76</v>
      </c>
      <c r="M88" s="5"/>
      <c r="N88" s="267"/>
      <c r="O88" s="107"/>
      <c r="P88" s="267"/>
      <c r="Q88" s="266">
        <v>0</v>
      </c>
      <c r="R88" s="267"/>
      <c r="S88" s="266">
        <v>0</v>
      </c>
    </row>
    <row r="89" spans="2:19">
      <c r="B89" s="363"/>
      <c r="C89" s="115">
        <v>749090</v>
      </c>
      <c r="D89" s="4" t="s">
        <v>306</v>
      </c>
      <c r="E89" s="4"/>
      <c r="F89" s="116">
        <v>0</v>
      </c>
      <c r="G89" s="4">
        <f t="shared" si="4"/>
        <v>0</v>
      </c>
      <c r="H89" s="143"/>
      <c r="I89" s="267"/>
      <c r="J89" s="266">
        <v>0</v>
      </c>
      <c r="K89" s="267"/>
      <c r="L89" s="108">
        <v>0</v>
      </c>
      <c r="M89" s="5"/>
      <c r="N89" s="267"/>
      <c r="O89" s="108"/>
      <c r="P89" s="267"/>
      <c r="Q89" s="266">
        <v>0</v>
      </c>
      <c r="R89" s="267"/>
      <c r="S89" s="266">
        <v>0</v>
      </c>
    </row>
    <row r="90" spans="2:19" ht="15.75" thickBot="1">
      <c r="B90" s="363"/>
      <c r="C90" s="117"/>
      <c r="D90" s="5"/>
      <c r="E90" s="5"/>
      <c r="F90" s="118"/>
      <c r="G90" s="5"/>
      <c r="H90" s="143"/>
      <c r="I90" s="363"/>
      <c r="J90" s="118"/>
      <c r="K90" s="363"/>
      <c r="L90" s="5"/>
      <c r="M90" s="5"/>
      <c r="N90" s="363"/>
      <c r="O90" s="5"/>
      <c r="P90" s="363"/>
      <c r="Q90" s="118"/>
      <c r="R90" s="363"/>
      <c r="S90" s="118"/>
    </row>
    <row r="91" spans="2:19" customFormat="1" ht="174" hidden="1" thickBot="1">
      <c r="C91" s="133"/>
      <c r="D91" s="31"/>
      <c r="E91" s="31"/>
      <c r="F91" s="81" t="str">
        <f>+F$1</f>
        <v>BUDGET 2024</v>
      </c>
      <c r="G91" s="97" t="str">
        <f>G$1</f>
        <v>Au 27/11/2024</v>
      </c>
      <c r="H91" s="141"/>
      <c r="J91" s="81" t="str">
        <f>+J$1</f>
        <v>BUD 2025 Adeps A</v>
      </c>
      <c r="K91" s="97"/>
      <c r="L91" s="165">
        <v>45930</v>
      </c>
      <c r="M91" s="295"/>
      <c r="N91" s="97"/>
      <c r="O91" s="165">
        <v>45930</v>
      </c>
      <c r="P91" s="97"/>
      <c r="Q91" s="81" t="str">
        <f>+Q$1</f>
        <v>BUD 2025 base</v>
      </c>
      <c r="R91" s="97"/>
      <c r="S91" s="81" t="str">
        <f>+S$1</f>
        <v>BUD 2025 Adeps B</v>
      </c>
    </row>
    <row r="92" spans="2:19" customFormat="1" ht="16.5" thickBot="1">
      <c r="B92" s="27" t="s">
        <v>74</v>
      </c>
      <c r="C92" s="134"/>
      <c r="D92" s="135"/>
      <c r="E92" s="31"/>
      <c r="F92" s="37">
        <f>SUM(F93:F96)</f>
        <v>0</v>
      </c>
      <c r="G92" s="35">
        <f>SUM(G93:G96)</f>
        <v>17.93</v>
      </c>
      <c r="H92" s="106" t="e">
        <f>+G92/F92</f>
        <v>#DIV/0!</v>
      </c>
      <c r="J92" s="37">
        <f>SUM(J93:J96)</f>
        <v>0</v>
      </c>
      <c r="L92" s="37">
        <f>SUM(L93:L96)</f>
        <v>17.93</v>
      </c>
      <c r="M92" s="296"/>
      <c r="O92" s="332">
        <f>SUM(O93:O96)</f>
        <v>0</v>
      </c>
      <c r="Q92" s="37">
        <f>SUM(Q93:Q96)</f>
        <v>0</v>
      </c>
      <c r="S92" s="37">
        <f>SUM(S93:S96)</f>
        <v>0</v>
      </c>
    </row>
    <row r="93" spans="2:19">
      <c r="B93" s="363"/>
      <c r="C93" s="123">
        <v>750000</v>
      </c>
      <c r="D93" s="1" t="s">
        <v>307</v>
      </c>
      <c r="E93" s="1"/>
      <c r="F93" s="129">
        <v>0</v>
      </c>
      <c r="G93" s="1">
        <f>+L93</f>
        <v>0</v>
      </c>
      <c r="H93" s="143"/>
      <c r="I93" s="267"/>
      <c r="J93" s="271">
        <v>0</v>
      </c>
      <c r="K93" s="267"/>
      <c r="L93" s="1">
        <v>0</v>
      </c>
      <c r="M93" s="5"/>
      <c r="N93" s="267"/>
      <c r="O93" s="1">
        <v>0</v>
      </c>
      <c r="P93" s="267"/>
      <c r="Q93" s="271">
        <v>0</v>
      </c>
      <c r="R93" s="267"/>
      <c r="S93" s="271">
        <v>0</v>
      </c>
    </row>
    <row r="94" spans="2:19">
      <c r="B94" s="363"/>
      <c r="C94" s="123">
        <v>751000</v>
      </c>
      <c r="D94" s="1" t="s">
        <v>308</v>
      </c>
      <c r="E94" s="1"/>
      <c r="F94" s="129">
        <v>0</v>
      </c>
      <c r="G94" s="1">
        <f>+L94</f>
        <v>17.93</v>
      </c>
      <c r="H94" s="143"/>
      <c r="I94" s="267"/>
      <c r="J94" s="271">
        <v>0</v>
      </c>
      <c r="K94" s="267"/>
      <c r="L94" s="1">
        <v>17.93</v>
      </c>
      <c r="M94" s="5"/>
      <c r="N94" s="267"/>
      <c r="O94" s="1">
        <v>0</v>
      </c>
      <c r="P94" s="267"/>
      <c r="Q94" s="271">
        <v>0</v>
      </c>
      <c r="R94" s="267"/>
      <c r="S94" s="271">
        <v>0</v>
      </c>
    </row>
    <row r="95" spans="2:19">
      <c r="B95" s="363"/>
      <c r="C95" s="123">
        <v>754000</v>
      </c>
      <c r="D95" s="1" t="s">
        <v>309</v>
      </c>
      <c r="E95" s="1"/>
      <c r="F95" s="129">
        <v>0</v>
      </c>
      <c r="G95" s="1">
        <f>+L95</f>
        <v>0</v>
      </c>
      <c r="H95" s="143"/>
      <c r="I95" s="267"/>
      <c r="J95" s="271">
        <v>0</v>
      </c>
      <c r="K95" s="267"/>
      <c r="L95" s="1">
        <v>0</v>
      </c>
      <c r="M95" s="5"/>
      <c r="N95" s="267"/>
      <c r="O95" s="1">
        <v>0</v>
      </c>
      <c r="P95" s="267"/>
      <c r="Q95" s="271">
        <v>0</v>
      </c>
      <c r="R95" s="267"/>
      <c r="S95" s="271">
        <v>0</v>
      </c>
    </row>
    <row r="96" spans="2:19">
      <c r="B96" s="363"/>
      <c r="C96" s="123">
        <v>755000</v>
      </c>
      <c r="D96" s="1" t="s">
        <v>310</v>
      </c>
      <c r="E96" s="1"/>
      <c r="F96" s="129">
        <v>0</v>
      </c>
      <c r="G96" s="4">
        <f>+L96</f>
        <v>0</v>
      </c>
      <c r="H96" s="143"/>
      <c r="I96" s="267"/>
      <c r="J96" s="271">
        <v>0</v>
      </c>
      <c r="K96" s="267"/>
      <c r="L96" s="4">
        <v>0</v>
      </c>
      <c r="M96" s="5"/>
      <c r="N96" s="267"/>
      <c r="O96" s="4">
        <v>0</v>
      </c>
      <c r="P96" s="267"/>
      <c r="Q96" s="271">
        <v>0</v>
      </c>
      <c r="R96" s="267"/>
      <c r="S96" s="271">
        <v>0</v>
      </c>
    </row>
    <row r="97" spans="2:19" ht="15.75" thickBot="1">
      <c r="B97" s="363"/>
      <c r="C97" s="117"/>
      <c r="D97" s="5"/>
      <c r="E97" s="5"/>
      <c r="F97" s="131"/>
      <c r="G97" s="5"/>
      <c r="H97" s="143"/>
      <c r="I97" s="363"/>
      <c r="J97" s="131"/>
      <c r="K97" s="363"/>
      <c r="L97" s="5"/>
      <c r="M97" s="5"/>
      <c r="N97" s="363"/>
      <c r="O97" s="5"/>
      <c r="P97" s="363"/>
      <c r="Q97" s="131"/>
      <c r="R97" s="363"/>
      <c r="S97" s="131"/>
    </row>
    <row r="98" spans="2:19" customFormat="1" ht="16.5" thickBot="1">
      <c r="B98" s="27" t="s">
        <v>311</v>
      </c>
      <c r="C98" s="134"/>
      <c r="D98" s="135"/>
      <c r="E98" s="31"/>
      <c r="F98" s="37">
        <f>SUM(F99:F114)</f>
        <v>129151.84000000001</v>
      </c>
      <c r="G98" s="35">
        <f>SUM(G99:G114)</f>
        <v>74000</v>
      </c>
      <c r="H98" s="106">
        <f>+G98/F98</f>
        <v>0.57296899525395839</v>
      </c>
      <c r="J98" s="37">
        <f>SUM(J99:J114)</f>
        <v>249482.54</v>
      </c>
      <c r="L98" s="37">
        <f>SUM(L99:L114)</f>
        <v>74000</v>
      </c>
      <c r="M98" s="296"/>
      <c r="O98" s="332">
        <f>SUM(O99:O114)</f>
        <v>26537.58</v>
      </c>
      <c r="Q98" s="37">
        <f>SUM(Q99:Q114)</f>
        <v>241382.54</v>
      </c>
      <c r="S98" s="37">
        <f>SUM(S99:S114)</f>
        <v>249482.54</v>
      </c>
    </row>
    <row r="99" spans="2:19">
      <c r="B99" s="363"/>
      <c r="C99" s="123">
        <v>762000</v>
      </c>
      <c r="D99" s="62" t="s">
        <v>312</v>
      </c>
      <c r="E99" s="62"/>
      <c r="F99" s="124">
        <v>126461.74</v>
      </c>
      <c r="G99" s="1">
        <f>+L99</f>
        <v>74000</v>
      </c>
      <c r="H99" s="143"/>
      <c r="I99" s="267"/>
      <c r="J99" s="271">
        <v>0</v>
      </c>
      <c r="K99" s="267"/>
      <c r="L99" s="1">
        <v>74000</v>
      </c>
      <c r="M99" s="5"/>
      <c r="N99" s="267"/>
      <c r="O99" s="1"/>
      <c r="P99" s="267"/>
      <c r="Q99" s="271">
        <v>0</v>
      </c>
      <c r="R99" s="267"/>
      <c r="S99" s="271">
        <v>0</v>
      </c>
    </row>
    <row r="100" spans="2:19">
      <c r="B100" s="363"/>
      <c r="C100" s="123">
        <v>762000</v>
      </c>
      <c r="D100" s="55" t="s">
        <v>196</v>
      </c>
      <c r="E100" s="77"/>
      <c r="F100" s="124"/>
      <c r="G100" s="1"/>
      <c r="H100" s="143"/>
      <c r="I100" s="363"/>
      <c r="J100" s="138">
        <v>30000</v>
      </c>
      <c r="K100" s="363"/>
      <c r="L100" s="1"/>
      <c r="M100" s="5"/>
      <c r="N100" s="363"/>
      <c r="O100" s="1"/>
      <c r="P100" s="363"/>
      <c r="Q100" s="138">
        <v>30000</v>
      </c>
      <c r="R100" s="363"/>
      <c r="S100" s="138">
        <v>30000</v>
      </c>
    </row>
    <row r="101" spans="2:19">
      <c r="B101" s="363"/>
      <c r="C101" s="123"/>
      <c r="D101" s="55" t="s">
        <v>197</v>
      </c>
      <c r="E101" s="77"/>
      <c r="F101" s="124"/>
      <c r="G101" s="1"/>
      <c r="H101" s="143"/>
      <c r="I101" s="363"/>
      <c r="J101" s="138">
        <v>43200</v>
      </c>
      <c r="K101" s="363"/>
      <c r="L101" s="1"/>
      <c r="M101" s="5"/>
      <c r="N101" s="363"/>
      <c r="O101" s="1"/>
      <c r="P101" s="363"/>
      <c r="Q101" s="138">
        <v>43200</v>
      </c>
      <c r="R101" s="363"/>
      <c r="S101" s="138">
        <v>43200</v>
      </c>
    </row>
    <row r="102" spans="2:19">
      <c r="B102" s="363"/>
      <c r="C102" s="123"/>
      <c r="D102" s="55" t="s">
        <v>198</v>
      </c>
      <c r="E102" s="77"/>
      <c r="F102" s="124"/>
      <c r="G102" s="1"/>
      <c r="H102" s="143"/>
      <c r="I102" s="363"/>
      <c r="J102" s="138">
        <v>15000</v>
      </c>
      <c r="K102" s="363"/>
      <c r="L102" s="1"/>
      <c r="M102" s="5"/>
      <c r="N102" s="363"/>
      <c r="O102" s="1"/>
      <c r="P102" s="363"/>
      <c r="Q102" s="138">
        <v>15000</v>
      </c>
      <c r="R102" s="363"/>
      <c r="S102" s="138">
        <v>15000</v>
      </c>
    </row>
    <row r="103" spans="2:19">
      <c r="B103" s="363"/>
      <c r="C103" s="123"/>
      <c r="D103" s="55" t="s">
        <v>199</v>
      </c>
      <c r="E103" s="77"/>
      <c r="F103" s="124"/>
      <c r="G103" s="1"/>
      <c r="H103" s="143"/>
      <c r="I103" s="363"/>
      <c r="J103" s="138">
        <v>15000</v>
      </c>
      <c r="K103" s="363"/>
      <c r="L103" s="1"/>
      <c r="M103" s="5"/>
      <c r="N103" s="363"/>
      <c r="O103" s="1"/>
      <c r="P103" s="363"/>
      <c r="Q103" s="138">
        <v>15000</v>
      </c>
      <c r="R103" s="363"/>
      <c r="S103" s="138">
        <v>15000</v>
      </c>
    </row>
    <row r="104" spans="2:19">
      <c r="B104" s="363"/>
      <c r="C104" s="123"/>
      <c r="D104" s="55" t="s">
        <v>200</v>
      </c>
      <c r="E104" s="77"/>
      <c r="F104" s="124"/>
      <c r="G104" s="1"/>
      <c r="H104" s="143"/>
      <c r="I104" s="363"/>
      <c r="J104" s="138">
        <v>20000</v>
      </c>
      <c r="K104" s="363"/>
      <c r="L104" s="1"/>
      <c r="M104" s="5"/>
      <c r="N104" s="363"/>
      <c r="O104" s="1"/>
      <c r="P104" s="363"/>
      <c r="Q104" s="138">
        <v>20000</v>
      </c>
      <c r="R104" s="363"/>
      <c r="S104" s="138">
        <v>20000</v>
      </c>
    </row>
    <row r="105" spans="2:19">
      <c r="B105" s="363"/>
      <c r="C105" s="123"/>
      <c r="D105" s="55" t="s">
        <v>201</v>
      </c>
      <c r="E105" s="77"/>
      <c r="F105" s="124"/>
      <c r="G105" s="1"/>
      <c r="H105" s="143"/>
      <c r="I105" s="363"/>
      <c r="J105" s="138">
        <v>20000</v>
      </c>
      <c r="K105" s="363"/>
      <c r="L105" s="1"/>
      <c r="M105" s="5"/>
      <c r="N105" s="363"/>
      <c r="O105" s="1"/>
      <c r="P105" s="363"/>
      <c r="Q105" s="138">
        <v>20000</v>
      </c>
      <c r="R105" s="363"/>
      <c r="S105" s="138">
        <v>20000</v>
      </c>
    </row>
    <row r="106" spans="2:19">
      <c r="B106" s="363"/>
      <c r="C106" s="123"/>
      <c r="D106" s="55" t="s">
        <v>202</v>
      </c>
      <c r="E106" s="77"/>
      <c r="F106" s="124"/>
      <c r="G106" s="1"/>
      <c r="H106" s="143"/>
      <c r="I106" s="363"/>
      <c r="J106" s="138">
        <v>0</v>
      </c>
      <c r="K106" s="363"/>
      <c r="L106" s="1"/>
      <c r="M106" s="5"/>
      <c r="N106" s="363"/>
      <c r="O106" s="1"/>
      <c r="P106" s="363"/>
      <c r="Q106" s="138">
        <v>0</v>
      </c>
      <c r="R106" s="363"/>
      <c r="S106" s="138">
        <v>0</v>
      </c>
    </row>
    <row r="107" spans="2:19">
      <c r="B107" s="363"/>
      <c r="C107" s="123"/>
      <c r="D107" s="55" t="s">
        <v>203</v>
      </c>
      <c r="E107" s="77"/>
      <c r="F107" s="124"/>
      <c r="G107" s="1"/>
      <c r="H107" s="143"/>
      <c r="I107" s="363"/>
      <c r="J107" s="138">
        <v>5000</v>
      </c>
      <c r="K107" s="363"/>
      <c r="L107" s="1"/>
      <c r="M107" s="5"/>
      <c r="N107" s="363"/>
      <c r="O107" s="1"/>
      <c r="P107" s="363"/>
      <c r="Q107" s="138">
        <v>5000</v>
      </c>
      <c r="R107" s="363"/>
      <c r="S107" s="138">
        <v>5000</v>
      </c>
    </row>
    <row r="108" spans="2:19">
      <c r="B108" s="363"/>
      <c r="C108" s="123"/>
      <c r="D108" s="55" t="s">
        <v>204</v>
      </c>
      <c r="E108" s="77"/>
      <c r="F108" s="124"/>
      <c r="G108" s="1"/>
      <c r="H108" s="143"/>
      <c r="I108" s="363"/>
      <c r="J108" s="138">
        <v>10000</v>
      </c>
      <c r="K108" s="363"/>
      <c r="L108" s="1"/>
      <c r="M108" s="5"/>
      <c r="N108" s="363"/>
      <c r="O108" s="1"/>
      <c r="P108" s="363"/>
      <c r="Q108" s="138">
        <v>10000</v>
      </c>
      <c r="R108" s="363"/>
      <c r="S108" s="138">
        <v>10000</v>
      </c>
    </row>
    <row r="109" spans="2:19">
      <c r="B109" s="363"/>
      <c r="C109" s="123"/>
      <c r="D109" s="55" t="s">
        <v>205</v>
      </c>
      <c r="E109" s="77"/>
      <c r="F109" s="124"/>
      <c r="G109" s="1"/>
      <c r="H109" s="143"/>
      <c r="I109" s="363"/>
      <c r="J109" s="138">
        <v>15000</v>
      </c>
      <c r="K109" s="363"/>
      <c r="L109" s="1"/>
      <c r="M109" s="5"/>
      <c r="N109" s="363"/>
      <c r="O109" s="1"/>
      <c r="P109" s="363"/>
      <c r="Q109" s="138">
        <v>15000</v>
      </c>
      <c r="R109" s="363"/>
      <c r="S109" s="138">
        <v>15000</v>
      </c>
    </row>
    <row r="110" spans="2:19">
      <c r="B110" s="363"/>
      <c r="C110" s="123"/>
      <c r="D110" s="55" t="s">
        <v>206</v>
      </c>
      <c r="E110" s="77"/>
      <c r="F110" s="124"/>
      <c r="G110" s="1"/>
      <c r="H110" s="143"/>
      <c r="I110" s="363"/>
      <c r="J110" s="138">
        <v>40000</v>
      </c>
      <c r="K110" s="363"/>
      <c r="L110" s="1"/>
      <c r="M110" s="5"/>
      <c r="N110" s="363"/>
      <c r="O110" s="1"/>
      <c r="P110" s="363"/>
      <c r="Q110" s="138">
        <v>40000</v>
      </c>
      <c r="R110" s="363"/>
      <c r="S110" s="138">
        <v>40000</v>
      </c>
    </row>
    <row r="111" spans="2:19">
      <c r="B111" s="363"/>
      <c r="C111" s="123"/>
      <c r="D111" s="55" t="s">
        <v>208</v>
      </c>
      <c r="E111" s="77"/>
      <c r="F111" s="124"/>
      <c r="G111" s="1"/>
      <c r="H111" s="143"/>
      <c r="I111" s="363"/>
      <c r="J111" s="138">
        <v>33592.44</v>
      </c>
      <c r="K111" s="363"/>
      <c r="L111" s="1"/>
      <c r="M111" s="5"/>
      <c r="N111" s="363"/>
      <c r="O111" s="1"/>
      <c r="P111" s="363"/>
      <c r="Q111" s="138">
        <v>25492.44</v>
      </c>
      <c r="R111" s="363"/>
      <c r="S111" s="138">
        <v>33592.44</v>
      </c>
    </row>
    <row r="112" spans="2:19">
      <c r="B112" s="363"/>
      <c r="C112" s="132" t="s">
        <v>313</v>
      </c>
      <c r="D112" s="1" t="s">
        <v>314</v>
      </c>
      <c r="E112" s="1"/>
      <c r="F112" s="124">
        <v>2690.1</v>
      </c>
      <c r="G112" s="1">
        <f>+L112</f>
        <v>0</v>
      </c>
      <c r="H112" s="143"/>
      <c r="I112" s="267"/>
      <c r="J112" s="269">
        <v>2690.1</v>
      </c>
      <c r="K112" s="267"/>
      <c r="L112" s="1">
        <v>0</v>
      </c>
      <c r="M112" s="5"/>
      <c r="N112" s="267"/>
      <c r="O112" s="1">
        <v>0</v>
      </c>
      <c r="P112" s="267"/>
      <c r="Q112" s="269">
        <v>2690.1</v>
      </c>
      <c r="R112" s="267"/>
      <c r="S112" s="269">
        <v>2690.1</v>
      </c>
    </row>
    <row r="113" spans="2:19">
      <c r="B113" s="363"/>
      <c r="C113" s="123">
        <v>763000</v>
      </c>
      <c r="D113" s="1" t="s">
        <v>315</v>
      </c>
      <c r="E113" s="1"/>
      <c r="F113" s="124"/>
      <c r="G113" s="1">
        <f>+L113</f>
        <v>0</v>
      </c>
      <c r="H113" s="143"/>
      <c r="I113" s="363"/>
      <c r="J113" s="124"/>
      <c r="K113" s="363"/>
      <c r="L113" s="1">
        <v>0</v>
      </c>
      <c r="M113" s="5"/>
      <c r="N113" s="363"/>
      <c r="O113" s="1">
        <v>0</v>
      </c>
      <c r="P113" s="363"/>
      <c r="Q113" s="124"/>
      <c r="R113" s="363"/>
      <c r="S113" s="124"/>
    </row>
    <row r="114" spans="2:19">
      <c r="B114" s="363"/>
      <c r="C114" s="115">
        <v>764000</v>
      </c>
      <c r="D114" s="4" t="s">
        <v>316</v>
      </c>
      <c r="E114" s="4"/>
      <c r="F114" s="54"/>
      <c r="G114" s="4">
        <f>+L114</f>
        <v>0</v>
      </c>
      <c r="H114" s="143"/>
      <c r="I114" s="363"/>
      <c r="J114" s="54"/>
      <c r="K114" s="363"/>
      <c r="L114" s="4">
        <v>0</v>
      </c>
      <c r="M114" s="5"/>
      <c r="N114" s="363"/>
      <c r="O114" s="4">
        <v>26537.58</v>
      </c>
      <c r="P114" s="363"/>
      <c r="Q114" s="54"/>
      <c r="R114" s="363"/>
      <c r="S114" s="54"/>
    </row>
    <row r="116" spans="2:19" ht="18.75">
      <c r="B116" s="363"/>
      <c r="C116" s="398"/>
      <c r="D116" s="359" t="s">
        <v>86</v>
      </c>
      <c r="E116" s="217"/>
      <c r="F116" s="217"/>
      <c r="G116" s="217"/>
      <c r="H116" s="357"/>
      <c r="I116" s="217"/>
      <c r="J116" s="358">
        <f>+J2+J7+J19+J24+J30+J40+J46+J53+J82+J92+J98</f>
        <v>1420312.54</v>
      </c>
      <c r="K116" s="217"/>
      <c r="L116" s="358">
        <f>+L2+L7+L19+L24+L30+L40+L46+L53+L82+L92+L98</f>
        <v>862478.74</v>
      </c>
      <c r="M116" s="358"/>
      <c r="N116" s="217"/>
      <c r="O116" s="358">
        <f>+O2+O7+O19+O24+O30+O40+O46+O53+O82+O92+O98</f>
        <v>1430337.58</v>
      </c>
      <c r="P116" s="363"/>
      <c r="R116" s="363"/>
    </row>
    <row r="117" spans="2:19" ht="21" hidden="1">
      <c r="B117" s="216">
        <v>7</v>
      </c>
      <c r="C117" s="212" t="s">
        <v>317</v>
      </c>
      <c r="D117" s="209"/>
      <c r="E117" s="209"/>
      <c r="F117" s="131"/>
      <c r="G117" s="5"/>
      <c r="H117" s="47"/>
      <c r="I117" s="363"/>
      <c r="J117" s="131"/>
      <c r="K117" s="363"/>
      <c r="L117" s="209">
        <f>+L50+L79+L82+L92+L98</f>
        <v>862478.74</v>
      </c>
      <c r="M117" s="209"/>
      <c r="N117" s="363"/>
      <c r="O117" s="209">
        <f>+O50+O79+O82+O92+O98</f>
        <v>1430337.58</v>
      </c>
      <c r="P117" s="363"/>
      <c r="Q117" s="209">
        <f>+Q50+Q79+Q82+Q92+Q98</f>
        <v>1412212.54</v>
      </c>
      <c r="R117" s="363"/>
      <c r="S117" s="131"/>
    </row>
    <row r="118" spans="2:19">
      <c r="B118" s="363"/>
      <c r="C118" s="398"/>
      <c r="D118" s="363"/>
      <c r="E118" s="363"/>
      <c r="F118" s="363"/>
      <c r="G118" s="363"/>
      <c r="I118" s="363"/>
      <c r="K118" s="363"/>
      <c r="L118" s="363"/>
      <c r="M118" s="363"/>
      <c r="N118" s="363"/>
      <c r="O118" s="363"/>
      <c r="P118" s="363"/>
      <c r="R118" s="363"/>
    </row>
    <row r="119" spans="2:19">
      <c r="B119" s="363"/>
      <c r="C119" s="398"/>
      <c r="D119" s="363"/>
      <c r="E119" s="363"/>
      <c r="F119" s="363"/>
      <c r="G119" s="363"/>
      <c r="I119" s="363"/>
      <c r="K119" s="363"/>
      <c r="L119" s="363"/>
      <c r="M119" s="363"/>
      <c r="N119" s="363"/>
      <c r="O119" s="363"/>
      <c r="P119" s="363"/>
      <c r="R119" s="363"/>
    </row>
    <row r="120" spans="2:19">
      <c r="B120" s="363"/>
      <c r="C120" s="398"/>
      <c r="D120" s="363"/>
      <c r="E120" s="363"/>
      <c r="F120" s="363"/>
      <c r="G120" s="363"/>
      <c r="I120" s="363"/>
      <c r="K120" s="363"/>
      <c r="L120" s="363"/>
      <c r="M120" s="363"/>
      <c r="N120" s="363"/>
      <c r="O120" s="363"/>
      <c r="P120" s="363"/>
      <c r="R120" s="363"/>
    </row>
    <row r="121" spans="2:19">
      <c r="B121" s="363"/>
      <c r="C121" s="398"/>
      <c r="D121" s="363"/>
      <c r="E121" s="363"/>
      <c r="F121" s="363"/>
      <c r="G121" s="363"/>
      <c r="I121" s="363"/>
      <c r="K121" s="363"/>
      <c r="L121" s="363"/>
      <c r="M121" s="363"/>
      <c r="N121" s="363"/>
      <c r="O121" s="363"/>
      <c r="P121" s="363"/>
      <c r="R121" s="363"/>
    </row>
  </sheetData>
  <mergeCells count="4">
    <mergeCell ref="F67:F68"/>
    <mergeCell ref="Q67:Q68"/>
    <mergeCell ref="J67:J68"/>
    <mergeCell ref="S67:S68"/>
  </mergeCells>
  <pageMargins left="0.2" right="0.2" top="0.25" bottom="0.2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AE3D-5827-F048-8DB5-9D2AE41B36AF}">
  <dimension ref="A6:C27"/>
  <sheetViews>
    <sheetView workbookViewId="0">
      <selection activeCell="E6" sqref="E6"/>
    </sheetView>
  </sheetViews>
  <sheetFormatPr defaultColWidth="11" defaultRowHeight="15.75"/>
  <cols>
    <col min="1" max="1" width="7.125" bestFit="1" customWidth="1"/>
    <col min="2" max="2" width="48.125" bestFit="1" customWidth="1"/>
    <col min="4" max="4" width="2.375" customWidth="1"/>
  </cols>
  <sheetData>
    <row r="6" spans="1:3">
      <c r="C6" t="s">
        <v>53</v>
      </c>
    </row>
    <row r="8" spans="1:3">
      <c r="A8" s="123">
        <v>737000</v>
      </c>
      <c r="B8" s="1" t="s">
        <v>287</v>
      </c>
      <c r="C8" s="421">
        <v>195000</v>
      </c>
    </row>
    <row r="9" spans="1:3">
      <c r="A9" s="123">
        <v>737010</v>
      </c>
      <c r="B9" s="1" t="s">
        <v>318</v>
      </c>
      <c r="C9" s="423"/>
    </row>
    <row r="10" spans="1:3">
      <c r="A10" s="123">
        <v>737100</v>
      </c>
      <c r="B10" s="1" t="s">
        <v>319</v>
      </c>
      <c r="C10" s="419">
        <v>250000</v>
      </c>
    </row>
    <row r="11" spans="1:3">
      <c r="A11" s="123">
        <v>737110</v>
      </c>
      <c r="B11" s="46" t="s">
        <v>320</v>
      </c>
      <c r="C11" s="418"/>
    </row>
    <row r="12" spans="1:3">
      <c r="A12" s="123">
        <v>737200</v>
      </c>
      <c r="B12" s="62" t="s">
        <v>288</v>
      </c>
      <c r="C12" s="418"/>
    </row>
    <row r="13" spans="1:3">
      <c r="A13" s="123">
        <v>737210</v>
      </c>
      <c r="B13" s="46" t="s">
        <v>289</v>
      </c>
      <c r="C13" s="418"/>
    </row>
    <row r="14" spans="1:3">
      <c r="A14" s="123">
        <v>737220</v>
      </c>
      <c r="B14" s="1" t="s">
        <v>321</v>
      </c>
      <c r="C14" s="420"/>
    </row>
    <row r="15" spans="1:3">
      <c r="A15" s="123">
        <v>737230</v>
      </c>
      <c r="B15" s="1" t="s">
        <v>322</v>
      </c>
      <c r="C15" s="272">
        <v>37500</v>
      </c>
    </row>
    <row r="16" spans="1:3">
      <c r="A16" s="123">
        <v>737300</v>
      </c>
      <c r="B16" s="1" t="s">
        <v>290</v>
      </c>
      <c r="C16" s="421">
        <v>50000</v>
      </c>
    </row>
    <row r="17" spans="1:3">
      <c r="A17" s="123">
        <v>737310</v>
      </c>
      <c r="B17" s="1" t="s">
        <v>323</v>
      </c>
      <c r="C17" s="422"/>
    </row>
    <row r="18" spans="1:3">
      <c r="A18" s="123">
        <v>737311</v>
      </c>
      <c r="B18" s="1" t="s">
        <v>324</v>
      </c>
      <c r="C18" s="423"/>
    </row>
    <row r="19" spans="1:3">
      <c r="A19" s="123">
        <v>737400</v>
      </c>
      <c r="B19" s="1" t="s">
        <v>325</v>
      </c>
      <c r="C19" s="263"/>
    </row>
    <row r="20" spans="1:3">
      <c r="A20" s="123">
        <v>737401</v>
      </c>
      <c r="B20" s="1" t="s">
        <v>326</v>
      </c>
      <c r="C20" s="263"/>
    </row>
    <row r="21" spans="1:3">
      <c r="A21" s="123">
        <v>737500</v>
      </c>
      <c r="B21" s="1" t="s">
        <v>327</v>
      </c>
      <c r="C21" s="271">
        <v>0</v>
      </c>
    </row>
    <row r="22" spans="1:3">
      <c r="A22" s="123">
        <v>737700</v>
      </c>
      <c r="B22" s="1" t="s">
        <v>328</v>
      </c>
      <c r="C22" s="271">
        <v>0</v>
      </c>
    </row>
    <row r="23" spans="1:3">
      <c r="A23" s="123">
        <v>737700</v>
      </c>
      <c r="B23" s="1" t="s">
        <v>291</v>
      </c>
      <c r="C23" s="271">
        <v>17500</v>
      </c>
    </row>
    <row r="24" spans="1:3">
      <c r="A24" s="123">
        <v>737700</v>
      </c>
      <c r="B24" s="1" t="s">
        <v>292</v>
      </c>
      <c r="C24" s="271">
        <v>30000</v>
      </c>
    </row>
    <row r="25" spans="1:3">
      <c r="A25" s="123">
        <v>737700</v>
      </c>
      <c r="B25" s="1" t="s">
        <v>293</v>
      </c>
      <c r="C25" s="271">
        <v>40000</v>
      </c>
    </row>
    <row r="27" spans="1:3">
      <c r="C27" s="273">
        <f>SUM(C8:C26)</f>
        <v>620000</v>
      </c>
    </row>
  </sheetData>
  <mergeCells count="3">
    <mergeCell ref="C10:C14"/>
    <mergeCell ref="C16:C18"/>
    <mergeCell ref="C8:C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2DF9-79C2-4349-AC3E-1F99C744ABFA}">
  <dimension ref="A1:O11"/>
  <sheetViews>
    <sheetView workbookViewId="0">
      <selection activeCell="M11" sqref="M11"/>
    </sheetView>
  </sheetViews>
  <sheetFormatPr defaultColWidth="11" defaultRowHeight="15.75"/>
  <cols>
    <col min="1" max="1" width="16.875" bestFit="1" customWidth="1"/>
    <col min="2" max="2" width="3.125" bestFit="1" customWidth="1"/>
    <col min="6" max="6" width="2" customWidth="1"/>
    <col min="7" max="7" width="6.125" bestFit="1" customWidth="1"/>
    <col min="11" max="11" width="6.125" bestFit="1" customWidth="1"/>
  </cols>
  <sheetData>
    <row r="1" spans="1:15">
      <c r="B1" t="s">
        <v>329</v>
      </c>
      <c r="C1" s="298">
        <v>45981</v>
      </c>
      <c r="D1" s="424" t="s">
        <v>330</v>
      </c>
      <c r="E1" s="425"/>
      <c r="G1" s="304" t="s">
        <v>331</v>
      </c>
      <c r="H1" s="305" t="s">
        <v>332</v>
      </c>
      <c r="I1" s="303"/>
      <c r="K1" s="304" t="s">
        <v>331</v>
      </c>
      <c r="L1" s="305" t="s">
        <v>333</v>
      </c>
      <c r="M1" s="303"/>
    </row>
    <row r="2" spans="1:15">
      <c r="A2" s="394" t="s">
        <v>334</v>
      </c>
      <c r="B2" s="363">
        <v>47</v>
      </c>
      <c r="C2">
        <v>5483</v>
      </c>
      <c r="D2" s="299">
        <v>5500</v>
      </c>
      <c r="E2" s="300">
        <f>+D2*$B2</f>
        <v>258500</v>
      </c>
      <c r="G2" s="299">
        <v>5655</v>
      </c>
      <c r="H2" s="306">
        <v>5700</v>
      </c>
      <c r="I2" s="300">
        <f>+H2*$B2</f>
        <v>267900</v>
      </c>
      <c r="K2" s="299">
        <v>5655</v>
      </c>
      <c r="L2" s="306">
        <v>5700</v>
      </c>
      <c r="M2" s="300">
        <f t="shared" ref="M2:M8" si="0">+L2*($B2+1)</f>
        <v>273600</v>
      </c>
      <c r="O2">
        <f>48*5700</f>
        <v>273600</v>
      </c>
    </row>
    <row r="3" spans="1:15">
      <c r="A3" s="394" t="s">
        <v>335</v>
      </c>
      <c r="B3" s="363">
        <v>33</v>
      </c>
      <c r="C3">
        <v>6263</v>
      </c>
      <c r="D3" s="299">
        <v>6300</v>
      </c>
      <c r="E3" s="300">
        <f t="shared" ref="E3:E8" si="1">+D3*$B3</f>
        <v>207900</v>
      </c>
      <c r="G3" s="299">
        <v>6484</v>
      </c>
      <c r="H3" s="306">
        <v>6500</v>
      </c>
      <c r="I3" s="300">
        <f t="shared" ref="I3:I8" si="2">+H3*$B3</f>
        <v>214500</v>
      </c>
      <c r="K3" s="299">
        <v>6484</v>
      </c>
      <c r="L3" s="306">
        <v>6500</v>
      </c>
      <c r="M3" s="300">
        <f t="shared" si="0"/>
        <v>221000</v>
      </c>
    </row>
    <row r="4" spans="1:15">
      <c r="A4" s="394" t="s">
        <v>336</v>
      </c>
      <c r="B4" s="363">
        <v>15</v>
      </c>
      <c r="C4">
        <v>572</v>
      </c>
      <c r="D4" s="299">
        <v>600</v>
      </c>
      <c r="E4" s="300">
        <f t="shared" si="1"/>
        <v>9000</v>
      </c>
      <c r="G4" s="299">
        <v>584</v>
      </c>
      <c r="H4" s="306">
        <v>600</v>
      </c>
      <c r="I4" s="300">
        <f t="shared" si="2"/>
        <v>9000</v>
      </c>
      <c r="K4" s="299">
        <v>584</v>
      </c>
      <c r="L4" s="306">
        <v>600</v>
      </c>
      <c r="M4" s="300">
        <f t="shared" si="0"/>
        <v>9600</v>
      </c>
    </row>
    <row r="5" spans="1:15">
      <c r="A5" s="394" t="s">
        <v>337</v>
      </c>
      <c r="B5" s="363">
        <v>10</v>
      </c>
      <c r="C5">
        <v>350</v>
      </c>
      <c r="D5" s="299">
        <v>350</v>
      </c>
      <c r="E5" s="300">
        <f t="shared" si="1"/>
        <v>3500</v>
      </c>
      <c r="G5" s="299">
        <v>356</v>
      </c>
      <c r="H5" s="306">
        <v>360</v>
      </c>
      <c r="I5" s="300">
        <f t="shared" si="2"/>
        <v>3600</v>
      </c>
      <c r="K5" s="299">
        <v>356</v>
      </c>
      <c r="L5" s="306">
        <v>360</v>
      </c>
      <c r="M5" s="300">
        <f t="shared" si="0"/>
        <v>3960</v>
      </c>
    </row>
    <row r="6" spans="1:15">
      <c r="A6" s="394" t="s">
        <v>338</v>
      </c>
      <c r="B6" s="363">
        <v>23</v>
      </c>
      <c r="C6">
        <f>1281+84</f>
        <v>1365</v>
      </c>
      <c r="D6" s="299">
        <v>1400</v>
      </c>
      <c r="E6" s="300">
        <f t="shared" si="1"/>
        <v>32200</v>
      </c>
      <c r="G6" s="299">
        <v>1399</v>
      </c>
      <c r="H6" s="306">
        <v>1400</v>
      </c>
      <c r="I6" s="300">
        <f t="shared" si="2"/>
        <v>32200</v>
      </c>
      <c r="K6" s="299">
        <v>1399</v>
      </c>
      <c r="L6" s="306">
        <v>1400</v>
      </c>
      <c r="M6" s="300">
        <f t="shared" si="0"/>
        <v>33600</v>
      </c>
    </row>
    <row r="7" spans="1:15">
      <c r="A7" s="394" t="s">
        <v>339</v>
      </c>
      <c r="B7" s="363">
        <v>23</v>
      </c>
      <c r="C7">
        <v>1738</v>
      </c>
      <c r="D7" s="299">
        <v>1800</v>
      </c>
      <c r="E7" s="300">
        <f t="shared" si="1"/>
        <v>41400</v>
      </c>
      <c r="G7" s="299">
        <v>1785</v>
      </c>
      <c r="H7" s="306">
        <v>1800</v>
      </c>
      <c r="I7" s="300">
        <f t="shared" si="2"/>
        <v>41400</v>
      </c>
      <c r="K7" s="299">
        <v>1785</v>
      </c>
      <c r="L7" s="306">
        <v>1800</v>
      </c>
      <c r="M7" s="300">
        <f t="shared" si="0"/>
        <v>43200</v>
      </c>
    </row>
    <row r="8" spans="1:15">
      <c r="A8" s="394" t="s">
        <v>340</v>
      </c>
      <c r="B8" s="363">
        <v>10</v>
      </c>
      <c r="C8">
        <v>9</v>
      </c>
      <c r="D8" s="299">
        <v>10</v>
      </c>
      <c r="E8" s="300">
        <f t="shared" si="1"/>
        <v>100</v>
      </c>
      <c r="G8" s="299"/>
      <c r="H8" s="306">
        <v>10</v>
      </c>
      <c r="I8" s="300">
        <f t="shared" si="2"/>
        <v>100</v>
      </c>
      <c r="K8" s="299"/>
      <c r="L8" s="306">
        <v>10</v>
      </c>
      <c r="M8" s="300">
        <f t="shared" si="0"/>
        <v>110</v>
      </c>
    </row>
    <row r="9" spans="1:15">
      <c r="A9" s="394" t="s">
        <v>341</v>
      </c>
      <c r="B9" s="363">
        <v>0</v>
      </c>
      <c r="C9">
        <v>155</v>
      </c>
      <c r="D9" s="299"/>
      <c r="E9" s="300"/>
      <c r="G9" s="299">
        <v>161</v>
      </c>
      <c r="H9" s="306"/>
      <c r="I9" s="300"/>
      <c r="K9" s="299">
        <v>161</v>
      </c>
      <c r="L9" s="306"/>
      <c r="M9" s="300"/>
    </row>
    <row r="10" spans="1:15">
      <c r="A10" s="394" t="s">
        <v>342</v>
      </c>
      <c r="B10" s="363">
        <v>0</v>
      </c>
      <c r="D10" s="299"/>
      <c r="E10" s="300"/>
      <c r="G10" s="299">
        <v>273</v>
      </c>
      <c r="H10" s="306"/>
      <c r="I10" s="300"/>
      <c r="K10" s="299">
        <v>273</v>
      </c>
      <c r="L10" s="306"/>
      <c r="M10" s="300"/>
    </row>
    <row r="11" spans="1:15">
      <c r="C11">
        <f>SUM(C2:C10)</f>
        <v>15935</v>
      </c>
      <c r="D11" s="301">
        <f>SUM(D2:D10)</f>
        <v>15960</v>
      </c>
      <c r="E11" s="302">
        <f>SUM(E2:E10)</f>
        <v>552600</v>
      </c>
      <c r="G11" s="301">
        <f>SUM(G2:G10)</f>
        <v>16697</v>
      </c>
      <c r="H11" s="307">
        <f>SUM(H2:H10)</f>
        <v>16370</v>
      </c>
      <c r="I11" s="302">
        <f>SUM(I2:I10)</f>
        <v>568700</v>
      </c>
      <c r="K11" s="301">
        <f>SUM(K2:K10)</f>
        <v>16697</v>
      </c>
      <c r="L11" s="307">
        <f>SUM(L2:L10)</f>
        <v>16370</v>
      </c>
      <c r="M11" s="302">
        <f>SUM(M2:M10)</f>
        <v>585070</v>
      </c>
    </row>
  </sheetData>
  <mergeCells count="1">
    <mergeCell ref="D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45E5-9F0D-C54A-B74E-434AD4D4CC8B}">
  <dimension ref="A1:E77"/>
  <sheetViews>
    <sheetView topLeftCell="A36" workbookViewId="0">
      <selection activeCell="J11" sqref="J11"/>
    </sheetView>
  </sheetViews>
  <sheetFormatPr defaultColWidth="11" defaultRowHeight="15.75"/>
  <sheetData>
    <row r="1" spans="1:4" ht="16.5" thickBot="1">
      <c r="A1" s="27" t="s">
        <v>55</v>
      </c>
    </row>
    <row r="11" spans="1:4">
      <c r="A11" s="46" t="s">
        <v>343</v>
      </c>
      <c r="C11">
        <v>90</v>
      </c>
      <c r="D11" t="s">
        <v>344</v>
      </c>
    </row>
    <row r="12" spans="1:4">
      <c r="C12">
        <v>160</v>
      </c>
      <c r="D12" t="s">
        <v>345</v>
      </c>
    </row>
    <row r="13" spans="1:4">
      <c r="C13">
        <v>80</v>
      </c>
      <c r="D13" t="s">
        <v>345</v>
      </c>
    </row>
    <row r="15" spans="1:4">
      <c r="A15" t="s">
        <v>346</v>
      </c>
      <c r="C15">
        <f>297.12+135.32+376.76+349.57+344.65+264.69+69.15+373.38+64.81+268.59+313.35+324.54</f>
        <v>3181.9300000000003</v>
      </c>
      <c r="D15" t="s">
        <v>347</v>
      </c>
    </row>
    <row r="16" spans="1:4">
      <c r="C16">
        <f>293.04+210.4+341.96+156.24+286.66+389.13+459.06+333.49+491.72+60.25+548.71+197.91+311.74+150.91+124.02+485.93+502.58+499.4+63.03+427.85</f>
        <v>6334.0300000000007</v>
      </c>
      <c r="D16" t="s">
        <v>348</v>
      </c>
    </row>
    <row r="18" spans="1:5">
      <c r="A18" s="46" t="s">
        <v>349</v>
      </c>
      <c r="C18">
        <f>241.49*11</f>
        <v>2656.3900000000003</v>
      </c>
      <c r="D18" t="s">
        <v>350</v>
      </c>
    </row>
    <row r="19" spans="1:5">
      <c r="C19">
        <f>19.92+27.83+29.64+30.42+27.83+27.98+29.82+29.84+92.27+36.54</f>
        <v>352.09</v>
      </c>
      <c r="D19" t="s">
        <v>351</v>
      </c>
    </row>
    <row r="21" spans="1:5">
      <c r="A21" s="46" t="s">
        <v>352</v>
      </c>
    </row>
    <row r="22" spans="1:5">
      <c r="C22">
        <f>58.08+58.28</f>
        <v>116.36</v>
      </c>
      <c r="D22" t="s">
        <v>353</v>
      </c>
      <c r="E22" t="s">
        <v>354</v>
      </c>
    </row>
    <row r="23" spans="1:5">
      <c r="C23">
        <f>79.97+41.44</f>
        <v>121.41</v>
      </c>
      <c r="D23" t="s">
        <v>353</v>
      </c>
      <c r="E23" t="s">
        <v>355</v>
      </c>
    </row>
    <row r="24" spans="1:5">
      <c r="C24">
        <f>70.4+70.64+180.96+106.8</f>
        <v>428.8</v>
      </c>
      <c r="D24" t="s">
        <v>356</v>
      </c>
      <c r="E24" t="s">
        <v>354</v>
      </c>
    </row>
    <row r="25" spans="1:5">
      <c r="C25">
        <f>69.73+311.6+52.07+172.1+360.2</f>
        <v>965.7</v>
      </c>
      <c r="D25" t="s">
        <v>356</v>
      </c>
      <c r="E25" t="s">
        <v>355</v>
      </c>
    </row>
    <row r="26" spans="1:5">
      <c r="C26">
        <f>44+44.15</f>
        <v>88.15</v>
      </c>
      <c r="D26" t="s">
        <v>357</v>
      </c>
      <c r="E26" t="s">
        <v>354</v>
      </c>
    </row>
    <row r="27" spans="1:5">
      <c r="C27">
        <f>74.8</f>
        <v>74.8</v>
      </c>
      <c r="D27" t="s">
        <v>358</v>
      </c>
      <c r="E27" t="s">
        <v>354</v>
      </c>
    </row>
    <row r="28" spans="1:5">
      <c r="C28">
        <f>153.6+118.3</f>
        <v>271.89999999999998</v>
      </c>
      <c r="D28" t="s">
        <v>358</v>
      </c>
      <c r="E28" t="s">
        <v>355</v>
      </c>
    </row>
    <row r="29" spans="1:5">
      <c r="C29">
        <f>180.52+95.34+177.43</f>
        <v>453.29</v>
      </c>
      <c r="D29" t="s">
        <v>359</v>
      </c>
      <c r="E29" t="s">
        <v>355</v>
      </c>
    </row>
    <row r="30" spans="1:5">
      <c r="C30">
        <f>144.76+127.1</f>
        <v>271.86</v>
      </c>
      <c r="D30" t="s">
        <v>360</v>
      </c>
      <c r="E30" t="s">
        <v>355</v>
      </c>
    </row>
    <row r="31" spans="1:5">
      <c r="C31">
        <f>87.39+51.19</f>
        <v>138.57999999999998</v>
      </c>
      <c r="D31" t="s">
        <v>361</v>
      </c>
      <c r="E31" t="s">
        <v>355</v>
      </c>
    </row>
    <row r="32" spans="1:5">
      <c r="C32">
        <f>61.4+139.68</f>
        <v>201.08</v>
      </c>
      <c r="D32" t="s">
        <v>362</v>
      </c>
      <c r="E32" t="s">
        <v>355</v>
      </c>
    </row>
    <row r="33" spans="3:5">
      <c r="C33">
        <f>263.4+77.08</f>
        <v>340.47999999999996</v>
      </c>
      <c r="D33" t="s">
        <v>363</v>
      </c>
      <c r="E33" t="s">
        <v>355</v>
      </c>
    </row>
    <row r="34" spans="3:5">
      <c r="C34">
        <v>76.36</v>
      </c>
      <c r="D34" t="s">
        <v>364</v>
      </c>
      <c r="E34" t="s">
        <v>355</v>
      </c>
    </row>
    <row r="35" spans="3:5">
      <c r="C35">
        <f>53.48+64.04</f>
        <v>117.52000000000001</v>
      </c>
      <c r="D35" t="s">
        <v>365</v>
      </c>
      <c r="E35" t="s">
        <v>355</v>
      </c>
    </row>
    <row r="36" spans="3:5">
      <c r="C36">
        <v>125.36</v>
      </c>
      <c r="D36" t="s">
        <v>366</v>
      </c>
      <c r="E36" t="s">
        <v>355</v>
      </c>
    </row>
    <row r="37" spans="3:5">
      <c r="C37">
        <v>81.239999999999995</v>
      </c>
      <c r="D37" t="s">
        <v>367</v>
      </c>
      <c r="E37" t="s">
        <v>354</v>
      </c>
    </row>
    <row r="38" spans="3:5">
      <c r="C38">
        <f>127.98+127.98</f>
        <v>255.96</v>
      </c>
      <c r="D38" t="s">
        <v>367</v>
      </c>
      <c r="E38" t="s">
        <v>355</v>
      </c>
    </row>
    <row r="39" spans="3:5">
      <c r="C39">
        <v>19.5</v>
      </c>
      <c r="D39" t="s">
        <v>368</v>
      </c>
      <c r="E39" t="s">
        <v>369</v>
      </c>
    </row>
    <row r="40" spans="3:5">
      <c r="C40">
        <v>86.48</v>
      </c>
      <c r="D40" t="s">
        <v>370</v>
      </c>
      <c r="E40" t="s">
        <v>355</v>
      </c>
    </row>
    <row r="41" spans="3:5">
      <c r="C41">
        <v>127.98</v>
      </c>
      <c r="D41" t="s">
        <v>371</v>
      </c>
      <c r="E41" t="s">
        <v>355</v>
      </c>
    </row>
    <row r="42" spans="3:5">
      <c r="C42">
        <v>104.92</v>
      </c>
      <c r="D42" t="s">
        <v>372</v>
      </c>
      <c r="E42" t="s">
        <v>355</v>
      </c>
    </row>
    <row r="43" spans="3:5">
      <c r="C43">
        <v>95.24</v>
      </c>
      <c r="D43" t="s">
        <v>373</v>
      </c>
      <c r="E43" t="s">
        <v>355</v>
      </c>
    </row>
    <row r="44" spans="3:5">
      <c r="C44">
        <v>127.98</v>
      </c>
      <c r="D44" t="s">
        <v>374</v>
      </c>
      <c r="E44" t="s">
        <v>355</v>
      </c>
    </row>
    <row r="45" spans="3:5">
      <c r="C45">
        <v>186.26</v>
      </c>
      <c r="D45" t="s">
        <v>375</v>
      </c>
      <c r="E45" t="s">
        <v>354</v>
      </c>
    </row>
    <row r="46" spans="3:5">
      <c r="C46">
        <v>133.28</v>
      </c>
      <c r="D46" t="s">
        <v>376</v>
      </c>
      <c r="E46" t="s">
        <v>354</v>
      </c>
    </row>
    <row r="47" spans="3:5">
      <c r="C47">
        <v>109.44</v>
      </c>
      <c r="D47" t="s">
        <v>377</v>
      </c>
      <c r="E47" t="s">
        <v>354</v>
      </c>
    </row>
    <row r="48" spans="3:5">
      <c r="C48">
        <v>106.79</v>
      </c>
      <c r="D48" t="s">
        <v>378</v>
      </c>
      <c r="E48" t="s">
        <v>354</v>
      </c>
    </row>
    <row r="49" spans="3:5">
      <c r="C49">
        <v>31.79</v>
      </c>
      <c r="D49" t="s">
        <v>379</v>
      </c>
      <c r="E49" t="s">
        <v>354</v>
      </c>
    </row>
    <row r="50" spans="3:5">
      <c r="C50">
        <v>38.85</v>
      </c>
      <c r="D50" t="s">
        <v>380</v>
      </c>
      <c r="E50" t="s">
        <v>354</v>
      </c>
    </row>
    <row r="51" spans="3:5">
      <c r="C51">
        <f>75+75</f>
        <v>150</v>
      </c>
      <c r="D51" t="s">
        <v>368</v>
      </c>
      <c r="E51" t="s">
        <v>354</v>
      </c>
    </row>
    <row r="52" spans="3:5">
      <c r="C52">
        <v>18.55</v>
      </c>
      <c r="D52" t="s">
        <v>381</v>
      </c>
      <c r="E52" t="s">
        <v>354</v>
      </c>
    </row>
    <row r="53" spans="3:5">
      <c r="C53">
        <v>101.2</v>
      </c>
      <c r="D53" t="s">
        <v>382</v>
      </c>
      <c r="E53" t="s">
        <v>354</v>
      </c>
    </row>
    <row r="54" spans="3:5">
      <c r="C54">
        <v>50.33</v>
      </c>
      <c r="D54" t="s">
        <v>383</v>
      </c>
      <c r="E54" t="s">
        <v>354</v>
      </c>
    </row>
    <row r="55" spans="3:5">
      <c r="C55">
        <v>24.75</v>
      </c>
      <c r="D55" t="s">
        <v>384</v>
      </c>
      <c r="E55" t="s">
        <v>354</v>
      </c>
    </row>
    <row r="56" spans="3:5">
      <c r="C56">
        <v>216.28</v>
      </c>
      <c r="D56" t="s">
        <v>385</v>
      </c>
      <c r="E56" t="s">
        <v>354</v>
      </c>
    </row>
    <row r="57" spans="3:5">
      <c r="C57">
        <v>216.28</v>
      </c>
      <c r="D57" t="s">
        <v>378</v>
      </c>
      <c r="E57" t="s">
        <v>354</v>
      </c>
    </row>
    <row r="58" spans="3:5">
      <c r="C58">
        <v>105.91</v>
      </c>
      <c r="D58" t="s">
        <v>386</v>
      </c>
      <c r="E58" t="s">
        <v>354</v>
      </c>
    </row>
    <row r="59" spans="3:5">
      <c r="C59">
        <v>132.4</v>
      </c>
      <c r="D59" t="s">
        <v>387</v>
      </c>
      <c r="E59" t="s">
        <v>354</v>
      </c>
    </row>
    <row r="60" spans="3:5">
      <c r="C60">
        <v>140.34</v>
      </c>
      <c r="D60" t="s">
        <v>388</v>
      </c>
      <c r="E60" t="s">
        <v>354</v>
      </c>
    </row>
    <row r="61" spans="3:5">
      <c r="C61">
        <v>81.180000000000007</v>
      </c>
      <c r="D61" t="s">
        <v>389</v>
      </c>
      <c r="E61" t="s">
        <v>354</v>
      </c>
    </row>
    <row r="62" spans="3:5">
      <c r="C62">
        <v>92.66</v>
      </c>
      <c r="D62" t="s">
        <v>390</v>
      </c>
      <c r="E62" t="s">
        <v>354</v>
      </c>
    </row>
    <row r="63" spans="3:5">
      <c r="C63">
        <v>137.69</v>
      </c>
      <c r="D63" t="s">
        <v>391</v>
      </c>
      <c r="E63" t="s">
        <v>354</v>
      </c>
    </row>
    <row r="64" spans="3:5">
      <c r="C64">
        <v>89.4</v>
      </c>
      <c r="D64" t="s">
        <v>392</v>
      </c>
      <c r="E64" t="s">
        <v>354</v>
      </c>
    </row>
    <row r="65" spans="3:5">
      <c r="C65">
        <v>82</v>
      </c>
      <c r="D65" t="s">
        <v>393</v>
      </c>
      <c r="E65" t="s">
        <v>354</v>
      </c>
    </row>
    <row r="66" spans="3:5">
      <c r="C66">
        <v>92.64</v>
      </c>
      <c r="D66" t="s">
        <v>394</v>
      </c>
      <c r="E66" t="s">
        <v>354</v>
      </c>
    </row>
    <row r="67" spans="3:5">
      <c r="C67">
        <v>104.92</v>
      </c>
      <c r="D67" t="s">
        <v>372</v>
      </c>
      <c r="E67" t="s">
        <v>354</v>
      </c>
    </row>
    <row r="68" spans="3:5">
      <c r="C68">
        <v>88.25</v>
      </c>
      <c r="D68" t="s">
        <v>395</v>
      </c>
      <c r="E68" t="s">
        <v>354</v>
      </c>
    </row>
    <row r="69" spans="3:5">
      <c r="C69">
        <v>95</v>
      </c>
      <c r="D69" t="s">
        <v>373</v>
      </c>
      <c r="E69" t="s">
        <v>354</v>
      </c>
    </row>
    <row r="70" spans="3:5">
      <c r="C70">
        <v>127.98</v>
      </c>
      <c r="D70" t="s">
        <v>374</v>
      </c>
      <c r="E70" t="s">
        <v>354</v>
      </c>
    </row>
    <row r="71" spans="3:5">
      <c r="C71">
        <v>89.96</v>
      </c>
      <c r="D71" t="s">
        <v>396</v>
      </c>
      <c r="E71" t="s">
        <v>354</v>
      </c>
    </row>
    <row r="72" spans="3:5">
      <c r="C72">
        <v>110.3</v>
      </c>
      <c r="D72" t="s">
        <v>397</v>
      </c>
      <c r="E72" t="s">
        <v>354</v>
      </c>
    </row>
    <row r="73" spans="3:5">
      <c r="C73">
        <v>132.44</v>
      </c>
      <c r="D73" t="s">
        <v>398</v>
      </c>
      <c r="E73" t="s">
        <v>354</v>
      </c>
    </row>
    <row r="74" spans="3:5">
      <c r="C74">
        <v>496.82</v>
      </c>
      <c r="D74" t="s">
        <v>353</v>
      </c>
      <c r="E74" t="s">
        <v>399</v>
      </c>
    </row>
    <row r="75" spans="3:5">
      <c r="C75">
        <v>66.88</v>
      </c>
      <c r="D75" t="s">
        <v>353</v>
      </c>
      <c r="E75" t="s">
        <v>400</v>
      </c>
    </row>
    <row r="76" spans="3:5">
      <c r="C76">
        <v>74.8</v>
      </c>
      <c r="D76" t="s">
        <v>363</v>
      </c>
      <c r="E76" t="s">
        <v>400</v>
      </c>
    </row>
    <row r="77" spans="3:5">
      <c r="C77">
        <v>79.86</v>
      </c>
      <c r="D77" t="s">
        <v>387</v>
      </c>
      <c r="E77" t="s">
        <v>400</v>
      </c>
    </row>
  </sheetData>
  <pageMargins left="0.2" right="0.2" top="0.25" bottom="0.2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8fc1d2-c5f5-4c6c-96cf-7d00e47f9bdb" xsi:nil="true"/>
    <lcf76f155ced4ddcb4097134ff3c332f xmlns="cddb731c-a605-451f-937d-f74af35c37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03A1A2158BF74DBBE0F3B13BF519C5" ma:contentTypeVersion="11" ma:contentTypeDescription="Crée un document." ma:contentTypeScope="" ma:versionID="2db9a9edf8e5ef9147342e74551f34b5">
  <xsd:schema xmlns:xsd="http://www.w3.org/2001/XMLSchema" xmlns:xs="http://www.w3.org/2001/XMLSchema" xmlns:p="http://schemas.microsoft.com/office/2006/metadata/properties" xmlns:ns2="cddb731c-a605-451f-937d-f74af35c37d1" xmlns:ns3="9b8fc1d2-c5f5-4c6c-96cf-7d00e47f9bdb" targetNamespace="http://schemas.microsoft.com/office/2006/metadata/properties" ma:root="true" ma:fieldsID="0b6dd01323ebc6dc62193050b2a19fd0" ns2:_="" ns3:_="">
    <xsd:import namespace="cddb731c-a605-451f-937d-f74af35c37d1"/>
    <xsd:import namespace="9b8fc1d2-c5f5-4c6c-96cf-7d00e47f9b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b731c-a605-451f-937d-f74af35c3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dd29f01-25cf-4b82-8e55-39f26eee7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fc1d2-c5f5-4c6c-96cf-7d00e47f9b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a5a7c8-7b70-4042-a326-157c8d869d31}" ma:internalName="TaxCatchAll" ma:showField="CatchAllData" ma:web="9b8fc1d2-c5f5-4c6c-96cf-7d00e47f9b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2119B8-844A-4B67-8A11-71D4CFBAC295}"/>
</file>

<file path=customXml/itemProps2.xml><?xml version="1.0" encoding="utf-8"?>
<ds:datastoreItem xmlns:ds="http://schemas.openxmlformats.org/officeDocument/2006/customXml" ds:itemID="{F850EF25-94E5-4CE6-A91F-600170F95947}"/>
</file>

<file path=customXml/itemProps3.xml><?xml version="1.0" encoding="utf-8"?>
<ds:datastoreItem xmlns:ds="http://schemas.openxmlformats.org/officeDocument/2006/customXml" ds:itemID="{FA47C8E0-1CB3-4B26-A43F-2167A29A8E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Michel Hourlay</cp:lastModifiedBy>
  <cp:revision/>
  <dcterms:created xsi:type="dcterms:W3CDTF">2025-07-15T07:56:35Z</dcterms:created>
  <dcterms:modified xsi:type="dcterms:W3CDTF">2025-12-09T19:11:21Z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0x010100A603A1A2158BF74DBBE0F3B13BF519C5</vt:lpwstr>
  </property>
  <property fmtid="{D5CDD505-2E9C-101B-9397-08002B2CF9AE}" pid="3" name="MediaServiceImageTags">
    <vt:lpwstr/>
  </property>
</Properties>
</file>